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hamberstx-my.sharepoint.com/personal/ndgranados_chamberstx_gov/Documents/Documents/"/>
    </mc:Choice>
  </mc:AlternateContent>
  <xr:revisionPtr revIDLastSave="0" documentId="8_{5FC7598C-C110-49CA-A8DA-596A53C3F561}" xr6:coauthVersionLast="47" xr6:coauthVersionMax="47" xr10:uidLastSave="{00000000-0000-0000-0000-000000000000}"/>
  <bookViews>
    <workbookView xWindow="1125" yWindow="1125" windowWidth="21600" windowHeight="11295" xr2:uid="{00000000-000D-0000-FFFF-FFFF00000000}"/>
  </bookViews>
  <sheets>
    <sheet name="Debt Detail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5" i="2" l="1"/>
  <c r="G165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65" i="2" s="1"/>
  <c r="D141" i="2"/>
  <c r="C141" i="2"/>
  <c r="B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H119" i="2"/>
  <c r="G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119" i="2" l="1"/>
  <c r="C94" i="2"/>
  <c r="B94" i="2"/>
  <c r="D93" i="2"/>
  <c r="D92" i="2"/>
  <c r="D91" i="2"/>
  <c r="D90" i="2"/>
  <c r="D89" i="2"/>
  <c r="D88" i="2"/>
  <c r="D87" i="2"/>
  <c r="D86" i="2"/>
  <c r="H75" i="2"/>
  <c r="G75" i="2"/>
  <c r="D85" i="2"/>
  <c r="I74" i="2"/>
  <c r="D84" i="2"/>
  <c r="I73" i="2"/>
  <c r="D83" i="2"/>
  <c r="I72" i="2"/>
  <c r="D82" i="2"/>
  <c r="I71" i="2"/>
  <c r="D81" i="2"/>
  <c r="I70" i="2"/>
  <c r="D80" i="2"/>
  <c r="I69" i="2"/>
  <c r="D79" i="2"/>
  <c r="I68" i="2"/>
  <c r="D78" i="2"/>
  <c r="D77" i="2"/>
  <c r="D76" i="2"/>
  <c r="D75" i="2"/>
  <c r="D74" i="2"/>
  <c r="D73" i="2"/>
  <c r="D72" i="2"/>
  <c r="D71" i="2"/>
  <c r="D70" i="2"/>
  <c r="D69" i="2"/>
  <c r="D68" i="2"/>
  <c r="C61" i="2"/>
  <c r="B61" i="2"/>
  <c r="D60" i="2"/>
  <c r="D59" i="2"/>
  <c r="D58" i="2"/>
  <c r="D57" i="2"/>
  <c r="D56" i="2"/>
  <c r="D55" i="2"/>
  <c r="D54" i="2"/>
  <c r="D53" i="2"/>
  <c r="D52" i="2"/>
  <c r="H51" i="2"/>
  <c r="G51" i="2"/>
  <c r="D51" i="2"/>
  <c r="I50" i="2"/>
  <c r="D50" i="2"/>
  <c r="I49" i="2"/>
  <c r="D49" i="2"/>
  <c r="I48" i="2"/>
  <c r="D48" i="2"/>
  <c r="I47" i="2"/>
  <c r="D47" i="2"/>
  <c r="I46" i="2"/>
  <c r="D46" i="2"/>
  <c r="I45" i="2"/>
  <c r="D45" i="2"/>
  <c r="I44" i="2"/>
  <c r="D44" i="2"/>
  <c r="I43" i="2"/>
  <c r="D43" i="2"/>
  <c r="I42" i="2"/>
  <c r="D42" i="2"/>
  <c r="I41" i="2"/>
  <c r="D41" i="2"/>
  <c r="I40" i="2"/>
  <c r="I39" i="2"/>
  <c r="I38" i="2"/>
  <c r="I37" i="2"/>
  <c r="I36" i="2"/>
  <c r="I35" i="2"/>
  <c r="I34" i="2"/>
  <c r="C34" i="2"/>
  <c r="B34" i="2"/>
  <c r="D33" i="2"/>
  <c r="D32" i="2"/>
  <c r="D31" i="2"/>
  <c r="D30" i="2"/>
  <c r="D29" i="2"/>
  <c r="D28" i="2"/>
  <c r="H27" i="2"/>
  <c r="G27" i="2"/>
  <c r="D27" i="2"/>
  <c r="I26" i="2"/>
  <c r="D26" i="2"/>
  <c r="I25" i="2"/>
  <c r="D25" i="2"/>
  <c r="I24" i="2"/>
  <c r="D24" i="2"/>
  <c r="I23" i="2"/>
  <c r="D23" i="2"/>
  <c r="I22" i="2"/>
  <c r="D22" i="2"/>
  <c r="I21" i="2"/>
  <c r="D21" i="2"/>
  <c r="I20" i="2"/>
  <c r="D20" i="2"/>
  <c r="I19" i="2"/>
  <c r="D19" i="2"/>
  <c r="I18" i="2"/>
  <c r="D18" i="2"/>
  <c r="I17" i="2"/>
  <c r="D17" i="2"/>
  <c r="I16" i="2"/>
  <c r="D16" i="2"/>
  <c r="I15" i="2"/>
  <c r="D15" i="2"/>
  <c r="I14" i="2"/>
  <c r="I13" i="2"/>
  <c r="I12" i="2"/>
  <c r="I11" i="2"/>
  <c r="I10" i="2"/>
  <c r="I75" i="2" l="1"/>
  <c r="D94" i="2"/>
  <c r="I51" i="2"/>
  <c r="D34" i="2"/>
  <c r="D61" i="2"/>
  <c r="I27" i="2"/>
</calcChain>
</file>

<file path=xl/sharedStrings.xml><?xml version="1.0" encoding="utf-8"?>
<sst xmlns="http://schemas.openxmlformats.org/spreadsheetml/2006/main" count="97" uniqueCount="43">
  <si>
    <t>Year</t>
  </si>
  <si>
    <t>Principal</t>
  </si>
  <si>
    <t>Interest</t>
  </si>
  <si>
    <t>Total</t>
  </si>
  <si>
    <t xml:space="preserve">Principal </t>
  </si>
  <si>
    <t>General Obligation Refunding Bond, Series 2012</t>
  </si>
  <si>
    <t>Certificates of Obligation, Series 2012</t>
  </si>
  <si>
    <t>Tax Note, Series 2007</t>
  </si>
  <si>
    <t>Tax Note, Series 2008</t>
  </si>
  <si>
    <t>Pass-through Toll Rev. &amp; Limited Tax Bond, Series 2011</t>
  </si>
  <si>
    <t>Certificates of Obligation, Series 2015</t>
  </si>
  <si>
    <t>Pass-Through Toll Bond, Series 2014</t>
  </si>
  <si>
    <t>Pass-Through Toll Bond, Series 2015</t>
  </si>
  <si>
    <t>Tax Note, Series 2016</t>
  </si>
  <si>
    <t xml:space="preserve">Description: </t>
  </si>
  <si>
    <t>construction and equipping of a new library in Winnie</t>
  </si>
  <si>
    <t>improvement and equipping of county buildings</t>
  </si>
  <si>
    <t>acquisition road maintenance equipment</t>
  </si>
  <si>
    <t>acquisition of election equipment</t>
  </si>
  <si>
    <t>acquisition of real property</t>
  </si>
  <si>
    <t>construction and equipping of a Winnie-Stowell arena</t>
  </si>
  <si>
    <t>construuction and equipping of a mosquito control office</t>
  </si>
  <si>
    <t>county wide road improvements</t>
  </si>
  <si>
    <t>FM 1409</t>
  </si>
  <si>
    <t>Acquisition of row</t>
  </si>
  <si>
    <t xml:space="preserve">Texas counties have the authority to issue bonds or other obligations that are secured by a pledge of ad valorem taxes. The county may also issue revenue bonds that do not involve any ad valorem tax pledges, but are secured by the pledge of revenues from a project of the issuer. </t>
  </si>
  <si>
    <t>Pass-Through Toll Bond, Series 2020</t>
  </si>
  <si>
    <r>
      <rPr>
        <b/>
        <sz val="10"/>
        <color theme="1"/>
        <rFont val="Calibri"/>
        <family val="2"/>
        <scheme val="minor"/>
      </rPr>
      <t>Description:</t>
    </r>
    <r>
      <rPr>
        <sz val="10"/>
        <color theme="1"/>
        <rFont val="Calibri"/>
        <family val="2"/>
        <scheme val="minor"/>
      </rPr>
      <t xml:space="preserve"> This bond is issued to refinance:</t>
    </r>
  </si>
  <si>
    <r>
      <t xml:space="preserve">Description: </t>
    </r>
    <r>
      <rPr>
        <sz val="10"/>
        <color theme="1"/>
        <rFont val="Calibri"/>
        <family val="2"/>
        <scheme val="minor"/>
      </rPr>
      <t>Road Construction</t>
    </r>
  </si>
  <si>
    <r>
      <rPr>
        <b/>
        <sz val="10"/>
        <color theme="1"/>
        <rFont val="Calibri"/>
        <family val="2"/>
        <scheme val="minor"/>
      </rPr>
      <t>Savings:</t>
    </r>
    <r>
      <rPr>
        <sz val="10"/>
        <color theme="1"/>
        <rFont val="Calibri"/>
        <family val="2"/>
        <scheme val="minor"/>
      </rPr>
      <t xml:space="preserve"> As a result in refinancing, the County saved $228,292.38</t>
    </r>
  </si>
  <si>
    <r>
      <t xml:space="preserve">Description: </t>
    </r>
    <r>
      <rPr>
        <sz val="10"/>
        <color theme="1"/>
        <rFont val="Calibri"/>
        <family val="2"/>
        <scheme val="minor"/>
      </rPr>
      <t>FM 1409</t>
    </r>
  </si>
  <si>
    <r>
      <rPr>
        <b/>
        <sz val="10"/>
        <color theme="1"/>
        <rFont val="Calibri"/>
        <family val="2"/>
        <scheme val="minor"/>
      </rPr>
      <t xml:space="preserve">Description: </t>
    </r>
    <r>
      <rPr>
        <sz val="10"/>
        <color theme="1"/>
        <rFont val="Calibri"/>
        <family val="2"/>
        <scheme val="minor"/>
      </rPr>
      <t>Kilgore Drainage Project</t>
    </r>
  </si>
  <si>
    <r>
      <t xml:space="preserve">Description: </t>
    </r>
    <r>
      <rPr>
        <sz val="10"/>
        <color theme="1"/>
        <rFont val="Calibri"/>
        <family val="2"/>
        <scheme val="minor"/>
      </rPr>
      <t>FM1409</t>
    </r>
  </si>
  <si>
    <t>Combination Tax &amp; Revenue Certificates of Obligation, series 2021</t>
  </si>
  <si>
    <t xml:space="preserve">Original Amount: </t>
  </si>
  <si>
    <t xml:space="preserve">Design, construction, extension, improvment &amp; acq. for roads.  Design, construction, extension &amp;  improvement of drainage. Design, construction, equipping &amp; improvement of buildings &amp; facilities. Acquisition, installation &amp; replacement of mechanical systems for Co. facilities. Payment of professional services &amp; costs of issuance </t>
  </si>
  <si>
    <t>Combination Tax &amp; Revenue Certificates of Obligation, series 2023</t>
  </si>
  <si>
    <t xml:space="preserve">Design, construction, extension, improvement &amp; acquisition for roads </t>
  </si>
  <si>
    <t xml:space="preserve">Design, construction, extension &amp;  improvement of drainage  </t>
  </si>
  <si>
    <t>Design, construction, equipping &amp; improvement of buildings &amp; facilities</t>
  </si>
  <si>
    <t>Acquisition, installation &amp; replacement of mechanical systems for Co. facilities</t>
  </si>
  <si>
    <t>Payment of professional services &amp; costs of issuance</t>
  </si>
  <si>
    <t>Combination Tax &amp; Revenue Certificates of Obligation, series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</si>
</sst>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G Times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double">
        <color theme="4" tint="-0.249977111117893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43" fontId="5" fillId="0" borderId="0" xfId="1" applyFont="1"/>
    <xf numFmtId="43" fontId="5" fillId="0" borderId="0" xfId="0" applyNumberFormat="1" applyFont="1"/>
    <xf numFmtId="43" fontId="6" fillId="0" borderId="0" xfId="2" applyNumberFormat="1" applyFont="1"/>
    <xf numFmtId="43" fontId="7" fillId="0" borderId="0" xfId="3" applyFont="1" applyFill="1" applyBorder="1" applyAlignment="1">
      <alignment horizontal="right"/>
    </xf>
    <xf numFmtId="43" fontId="6" fillId="0" borderId="0" xfId="3" applyFont="1" applyFill="1" applyBorder="1" applyAlignment="1">
      <alignment horizontal="right"/>
    </xf>
    <xf numFmtId="43" fontId="6" fillId="0" borderId="0" xfId="3" applyFont="1" applyFill="1" applyBorder="1" applyAlignment="1">
      <alignment horizontal="left"/>
    </xf>
    <xf numFmtId="43" fontId="7" fillId="0" borderId="0" xfId="3" applyFont="1" applyFill="1" applyBorder="1"/>
    <xf numFmtId="43" fontId="6" fillId="0" borderId="0" xfId="3" applyFont="1" applyFill="1" applyBorder="1"/>
    <xf numFmtId="0" fontId="4" fillId="0" borderId="0" xfId="0" applyFont="1"/>
    <xf numFmtId="3" fontId="4" fillId="0" borderId="0" xfId="0" applyNumberFormat="1" applyFont="1"/>
    <xf numFmtId="0" fontId="5" fillId="0" borderId="0" xfId="0" applyFont="1" applyAlignment="1">
      <alignment wrapText="1"/>
    </xf>
    <xf numFmtId="41" fontId="5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41" fontId="5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41" fontId="4" fillId="0" borderId="0" xfId="0" applyNumberFormat="1" applyFont="1" applyAlignment="1">
      <alignment horizontal="center"/>
    </xf>
    <xf numFmtId="0" fontId="2" fillId="0" borderId="0" xfId="0" applyFont="1"/>
    <xf numFmtId="3" fontId="2" fillId="0" borderId="0" xfId="0" applyNumberFormat="1" applyFont="1"/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43" fontId="0" fillId="0" borderId="0" xfId="0" applyNumberFormat="1"/>
    <xf numFmtId="0" fontId="0" fillId="0" borderId="2" xfId="0" applyBorder="1" applyAlignment="1">
      <alignment horizontal="center"/>
    </xf>
    <xf numFmtId="43" fontId="2" fillId="0" borderId="3" xfId="0" applyNumberFormat="1" applyFont="1" applyBorder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4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</cellStyles>
  <dxfs count="82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3" formatCode="_(* #,##0_);_(* \(#,##0\);_(* &quot;-&quot;_);_(@_)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3" formatCode="_(* #,##0_);_(* \(#,##0\);_(* &quot;-&quot;_);_(@_)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5" formatCode="_(* #,##0.00_);_(* \(#,##0.00\);_(* &quot;-&quot;??_);_(@_)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5" formatCode="_(* #,##0.00_);_(* \(#,##0.00\);_(* &quot;-&quot;??_);_(@_)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5" formatCode="_(* #,##0.00_);_(* \(#,##0.00\);_(* &quot;-&quot;??_);_(@_)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5" formatCode="_(* #,##0.00_);_(* \(#,##0.00\);_(* &quot;-&quot;??_);_(@_)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5" formatCode="_(* #,##0.00_);_(* \(#,##0.00\);_(* &quot;-&quot;??_);_(@_)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</font>
    </dxf>
    <dxf>
      <font>
        <strike val="0"/>
        <outline val="0"/>
        <shadow val="0"/>
        <u val="none"/>
        <vertAlign val="baseline"/>
        <sz val="10"/>
        <name val="Calibri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5" formatCode="_(* #,##0.00_);_(* \(#,##0.00\);_(* &quot;-&quot;??_);_(@_)"/>
    </dxf>
    <dxf>
      <font>
        <strike val="0"/>
        <outline val="0"/>
        <shadow val="0"/>
        <u val="none"/>
        <vertAlign val="baseline"/>
        <sz val="10"/>
        <name val="Calibri"/>
      </font>
    </dxf>
    <dxf>
      <font>
        <strike val="0"/>
        <outline val="0"/>
        <shadow val="0"/>
        <u val="none"/>
        <vertAlign val="baseline"/>
        <sz val="10"/>
        <name val="Calibri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name val="Calibri"/>
      </font>
    </dxf>
    <dxf>
      <font>
        <strike val="0"/>
        <outline val="0"/>
        <shadow val="0"/>
        <u val="none"/>
        <vertAlign val="baseline"/>
        <sz val="10"/>
        <name val="Calibri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</dxf>
    <dxf>
      <font>
        <strike val="0"/>
        <outline val="0"/>
        <shadow val="0"/>
        <u val="none"/>
        <vertAlign val="baseline"/>
        <sz val="10"/>
        <name val="Calibri"/>
      </font>
    </dxf>
    <dxf>
      <font>
        <strike val="0"/>
        <outline val="0"/>
        <shadow val="0"/>
        <u val="none"/>
        <vertAlign val="baseline"/>
        <sz val="10"/>
        <name val="Calibri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35" formatCode="_(* #,##0.00_);_(* \(#,##0.00\);_(* &quot;-&quot;??_);_(@_)"/>
    </dxf>
    <dxf>
      <font>
        <strike val="0"/>
        <outline val="0"/>
        <shadow val="0"/>
        <u val="none"/>
        <vertAlign val="baseline"/>
        <sz val="10"/>
        <name val="Calibri"/>
      </font>
    </dxf>
    <dxf>
      <font>
        <strike val="0"/>
        <outline val="0"/>
        <shadow val="0"/>
        <u val="none"/>
        <vertAlign val="baseline"/>
        <sz val="10"/>
        <name val="Calibri"/>
      </font>
      <numFmt numFmtId="35" formatCode="_(* #,##0.00_);_(* \(#,##0.00\);_(* &quot;-&quot;??_);_(@_)"/>
    </dxf>
    <dxf>
      <font>
        <strike val="0"/>
        <outline val="0"/>
        <shadow val="0"/>
        <u val="none"/>
        <vertAlign val="baseline"/>
        <sz val="10"/>
        <name val="Calibri"/>
      </font>
    </dxf>
    <dxf>
      <font>
        <strike val="0"/>
        <outline val="0"/>
        <shadow val="0"/>
        <u val="none"/>
        <vertAlign val="baseline"/>
        <sz val="10"/>
        <name val="Calibri"/>
      </font>
      <numFmt numFmtId="35" formatCode="_(* #,##0.00_);_(* \(#,##0.00\);_(* &quot;-&quot;??_);_(@_)"/>
    </dxf>
    <dxf>
      <font>
        <strike val="0"/>
        <outline val="0"/>
        <shadow val="0"/>
        <u val="none"/>
        <vertAlign val="baseline"/>
        <sz val="10"/>
        <name val="Calibri"/>
      </font>
    </dxf>
    <dxf>
      <font>
        <strike val="0"/>
        <outline val="0"/>
        <shadow val="0"/>
        <u val="none"/>
        <vertAlign val="baseline"/>
        <sz val="10"/>
        <name val="Calibri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</dxf>
    <dxf>
      <font>
        <strike val="0"/>
        <outline val="0"/>
        <shadow val="0"/>
        <u val="none"/>
        <vertAlign val="baseline"/>
        <sz val="10"/>
        <name val="Calibri"/>
      </font>
    </dxf>
    <dxf>
      <font>
        <strike val="0"/>
        <outline val="0"/>
        <shadow val="0"/>
        <u val="none"/>
        <vertAlign val="baseline"/>
        <sz val="10"/>
        <name val="Calibri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</font>
    </dxf>
    <dxf>
      <font>
        <strike val="0"/>
        <outline val="0"/>
        <shadow val="0"/>
        <u val="none"/>
        <vertAlign val="baseline"/>
        <sz val="10"/>
        <name val="Calibri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43" displayName="Table43" ref="F9:I27" totalsRowCount="1" headerRowDxfId="81" dataDxfId="80" totalsRowDxfId="79" dataCellStyle="Comma">
  <autoFilter ref="F9:I26" xr:uid="{00000000-0009-0000-0100-000002000000}"/>
  <tableColumns count="4">
    <tableColumn id="1" xr3:uid="{00000000-0010-0000-0000-000001000000}" name="Year" totalsRowLabel="Total" dataDxfId="78" totalsRowDxfId="77"/>
    <tableColumn id="2" xr3:uid="{00000000-0010-0000-0000-000002000000}" name="Principal" totalsRowFunction="sum" dataDxfId="76" totalsRowDxfId="75" dataCellStyle="Comma"/>
    <tableColumn id="3" xr3:uid="{00000000-0010-0000-0000-000003000000}" name="Interest" totalsRowFunction="sum" dataDxfId="74" totalsRowDxfId="73" dataCellStyle="Comma"/>
    <tableColumn id="4" xr3:uid="{00000000-0010-0000-0000-000004000000}" name="Total" totalsRowFunction="sum" dataDxfId="72" totalsRowDxfId="71" dataCellStyle="Comma">
      <calculatedColumnFormula>SUM(Table43[[#This Row],[Principal]:[Interest]])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4" displayName="Table14" ref="A14:D34" totalsRowCount="1" headerRowDxfId="70" dataDxfId="69" totalsRowDxfId="68">
  <autoFilter ref="A14:D33" xr:uid="{00000000-0009-0000-0100-000003000000}"/>
  <tableColumns count="4">
    <tableColumn id="1" xr3:uid="{00000000-0010-0000-0100-000001000000}" name="Year" totalsRowLabel="Total" dataDxfId="67" totalsRowDxfId="66"/>
    <tableColumn id="2" xr3:uid="{00000000-0010-0000-0100-000002000000}" name="Principal" totalsRowFunction="sum" dataDxfId="65" totalsRowDxfId="64" dataCellStyle="Comma"/>
    <tableColumn id="3" xr3:uid="{00000000-0010-0000-0100-000003000000}" name="Interest" totalsRowFunction="sum" dataDxfId="63" totalsRowDxfId="62" dataCellStyle="Comma"/>
    <tableColumn id="4" xr3:uid="{00000000-0010-0000-0100-000004000000}" name="Total" totalsRowFunction="sum" dataDxfId="61" totalsRowDxfId="60" dataCellStyle="Comma">
      <calculatedColumnFormula>SUM(Table14[[#This Row],[Principal]:[Interest]])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Table368" displayName="Table368" ref="A40:D61" totalsRowCount="1" headerRowDxfId="59" dataDxfId="58" totalsRowDxfId="57">
  <autoFilter ref="A40:D60" xr:uid="{00000000-0009-0000-0100-000007000000}"/>
  <tableColumns count="4">
    <tableColumn id="1" xr3:uid="{00000000-0010-0000-0200-000001000000}" name="Year" totalsRowLabel="Total" dataDxfId="56" totalsRowDxfId="55"/>
    <tableColumn id="2" xr3:uid="{00000000-0010-0000-0200-000002000000}" name="Principal " totalsRowFunction="sum" dataDxfId="54" totalsRowDxfId="53" dataCellStyle="Comma"/>
    <tableColumn id="3" xr3:uid="{00000000-0010-0000-0200-000003000000}" name="Interest" totalsRowFunction="sum" dataDxfId="52" totalsRowDxfId="51" dataCellStyle="Comma"/>
    <tableColumn id="4" xr3:uid="{00000000-0010-0000-0200-000004000000}" name="Total" totalsRowFunction="sum" dataDxfId="50" totalsRowDxfId="49" dataCellStyle="Comma">
      <calculatedColumnFormula>SUM(Table368[[#This Row],[Principal ]:[Interest]])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3000000}" name="Table4711" displayName="Table4711" ref="F33:I51" totalsRowCount="1" headerRowDxfId="48" dataDxfId="47" totalsRowDxfId="46" dataCellStyle="Comma">
  <autoFilter ref="F33:I50" xr:uid="{00000000-0009-0000-0100-00000A000000}"/>
  <tableColumns count="4">
    <tableColumn id="1" xr3:uid="{00000000-0010-0000-0300-000001000000}" name="Year" totalsRowLabel="Total" dataDxfId="45" totalsRowDxfId="44"/>
    <tableColumn id="2" xr3:uid="{00000000-0010-0000-0300-000002000000}" name="Principal" totalsRowFunction="sum" dataDxfId="43" totalsRowDxfId="42" dataCellStyle="Comma"/>
    <tableColumn id="3" xr3:uid="{00000000-0010-0000-0300-000003000000}" name="Interest" totalsRowFunction="sum" dataDxfId="41" totalsRowDxfId="40" dataCellStyle="Comma"/>
    <tableColumn id="4" xr3:uid="{00000000-0010-0000-0300-000004000000}" name="Total" totalsRowFunction="sum" dataDxfId="39" totalsRowDxfId="38" dataCellStyle="Comma">
      <calculatedColumnFormula>SUM(Table4711[[#This Row],[Principal]:[Interest]])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4000000}" name="Table3912" displayName="Table3912" ref="F67:I75" totalsRowCount="1" headerRowDxfId="37" dataDxfId="36" totalsRowDxfId="35">
  <autoFilter ref="F67:I74" xr:uid="{00000000-0009-0000-0100-00000B000000}"/>
  <tableColumns count="4">
    <tableColumn id="1" xr3:uid="{00000000-0010-0000-0400-000001000000}" name="Year" totalsRowLabel="Total" dataDxfId="34" totalsRowDxfId="33"/>
    <tableColumn id="2" xr3:uid="{00000000-0010-0000-0400-000002000000}" name="Principal " totalsRowFunction="sum" dataDxfId="32" totalsRowDxfId="31" dataCellStyle="Comma"/>
    <tableColumn id="3" xr3:uid="{00000000-0010-0000-0400-000003000000}" name="Interest" totalsRowFunction="sum" dataDxfId="30" totalsRowDxfId="29" dataCellStyle="Comma"/>
    <tableColumn id="4" xr3:uid="{00000000-0010-0000-0400-000004000000}" name="Total" totalsRowFunction="sum" dataDxfId="28" totalsRowDxfId="27" dataCellStyle="Comma">
      <calculatedColumnFormula>SUM(Table3912[[#This Row],[Principal ]:[Interest]])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5000000}" name="Table913" displayName="Table913" ref="A67:D94" totalsRowCount="1" headerRowDxfId="26" dataDxfId="25" totalsRowDxfId="24">
  <autoFilter ref="A67:D93" xr:uid="{00000000-0009-0000-0100-00000C000000}"/>
  <tableColumns count="4">
    <tableColumn id="1" xr3:uid="{00000000-0010-0000-0500-000001000000}" name="Year" totalsRowLabel="Total" dataDxfId="23" totalsRowDxfId="22"/>
    <tableColumn id="2" xr3:uid="{00000000-0010-0000-0500-000002000000}" name="Principal " totalsRowFunction="sum" dataDxfId="21" totalsRowDxfId="20" dataCellStyle="Comma"/>
    <tableColumn id="3" xr3:uid="{00000000-0010-0000-0500-000003000000}" name="Interest" totalsRowFunction="sum" dataDxfId="19" totalsRowDxfId="18" dataCellStyle="Comma"/>
    <tableColumn id="4" xr3:uid="{00000000-0010-0000-0500-000004000000}" name="Total" totalsRowFunction="sum" dataDxfId="17" totalsRowDxfId="16" dataCellStyle="Comma">
      <calculatedColumnFormula>SUM(Table913[[#This Row],[Principal ]:[Interest]])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6000000}" name="Table2" displayName="Table2" ref="F87:I119" totalsRowShown="0" headerRowDxfId="15" dataDxfId="14">
  <autoFilter ref="F87:I119" xr:uid="{00000000-0009-0000-0100-00000D000000}"/>
  <tableColumns count="4">
    <tableColumn id="1" xr3:uid="{00000000-0010-0000-0600-000001000000}" name="Year" dataDxfId="13"/>
    <tableColumn id="2" xr3:uid="{00000000-0010-0000-0600-000002000000}" name="Principal" dataDxfId="12"/>
    <tableColumn id="3" xr3:uid="{00000000-0010-0000-0600-000003000000}" name="Interest" dataDxfId="11"/>
    <tableColumn id="4" xr3:uid="{00000000-0010-0000-0600-000004000000}" name="Total" dataDxfId="10">
      <calculatedColumnFormula>SUM(Table2[[#This Row],[Principal]:[Interest]])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603171B-3978-45A4-9E4D-919E49A09372}" name="Table27" displayName="Table27" ref="A105:D141" totalsRowShown="0" headerRowDxfId="9" dataDxfId="8">
  <autoFilter ref="A105:D141" xr:uid="{D603171B-3978-45A4-9E4D-919E49A09372}"/>
  <tableColumns count="4">
    <tableColumn id="1" xr3:uid="{F9387DEA-B815-4013-937D-0B3813937F2B}" name="Year" dataDxfId="7"/>
    <tableColumn id="2" xr3:uid="{D20A75D7-3220-4822-AA8A-7959AD61DC3F}" name="Principal" dataDxfId="6"/>
    <tableColumn id="3" xr3:uid="{95579D76-FAC0-420E-AE8C-C6563DF0D8E1}" name="Interest" dataDxfId="5"/>
    <tableColumn id="4" xr3:uid="{13D1848B-CBF6-4D7E-BA9E-284F42899A94}" name="Total" dataDxfId="4">
      <calculatedColumnFormula>SUM(Table27[[#This Row],[Principal]:[Interest]])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8307AB8-AD14-4796-B081-6CBA04D18D29}" name="Table3" displayName="Table3" ref="F131:I165" totalsRowShown="0" headerRowDxfId="3">
  <autoFilter ref="F131:I165" xr:uid="{D8307AB8-AD14-4796-B081-6CBA04D18D29}"/>
  <tableColumns count="4">
    <tableColumn id="1" xr3:uid="{E4E9EE45-5211-4EDB-BEB4-31B1ACC51205}" name="Year"/>
    <tableColumn id="2" xr3:uid="{BA8AA89E-EAAE-47CE-B2BD-5C1A7DD79C89}" name="Principal" dataDxfId="2"/>
    <tableColumn id="3" xr3:uid="{92A107DA-25C2-4CA2-B3E9-49CD18B292A0}" name="Interest" dataDxfId="1"/>
    <tableColumn id="4" xr3:uid="{B37FB833-6CE9-4E36-BE6B-B0AFEE4F5751}" name="Tota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6"/>
  <sheetViews>
    <sheetView tabSelected="1" workbookViewId="0">
      <selection activeCell="N133" sqref="N133"/>
    </sheetView>
  </sheetViews>
  <sheetFormatPr defaultRowHeight="15"/>
  <cols>
    <col min="1" max="1" width="7.42578125" customWidth="1"/>
    <col min="2" max="2" width="17.5703125" customWidth="1"/>
    <col min="3" max="3" width="17.7109375" customWidth="1"/>
    <col min="4" max="4" width="19.28515625" customWidth="1"/>
    <col min="5" max="5" width="6.140625" customWidth="1"/>
    <col min="6" max="6" width="7.85546875" customWidth="1"/>
    <col min="7" max="7" width="14.42578125" customWidth="1"/>
    <col min="8" max="8" width="15.140625" customWidth="1"/>
    <col min="9" max="9" width="14.5703125" customWidth="1"/>
    <col min="10" max="10" width="7" customWidth="1"/>
  </cols>
  <sheetData>
    <row r="1" spans="1:10" ht="15" customHeight="1">
      <c r="A1" s="32" t="s">
        <v>25</v>
      </c>
      <c r="B1" s="32"/>
      <c r="C1" s="32"/>
      <c r="D1" s="32"/>
      <c r="E1" s="32"/>
      <c r="F1" s="32"/>
      <c r="G1" s="32"/>
      <c r="H1" s="32"/>
      <c r="I1" s="32"/>
      <c r="J1" s="1"/>
    </row>
    <row r="2" spans="1:10">
      <c r="A2" s="32"/>
      <c r="B2" s="32"/>
      <c r="C2" s="32"/>
      <c r="D2" s="32"/>
      <c r="E2" s="32"/>
      <c r="F2" s="32"/>
      <c r="G2" s="32"/>
      <c r="H2" s="32"/>
      <c r="I2" s="32"/>
      <c r="J2" s="1"/>
    </row>
    <row r="3" spans="1:10">
      <c r="A3" s="32"/>
      <c r="B3" s="32"/>
      <c r="C3" s="32"/>
      <c r="D3" s="32"/>
      <c r="E3" s="32"/>
      <c r="F3" s="32"/>
      <c r="G3" s="32"/>
      <c r="H3" s="32"/>
      <c r="I3" s="32"/>
      <c r="J3" s="1"/>
    </row>
    <row r="4" spans="1:10" ht="10.5" customHeight="1">
      <c r="A4" s="2"/>
      <c r="B4" s="2"/>
      <c r="C4" s="2"/>
      <c r="D4" s="2"/>
      <c r="E4" s="2"/>
      <c r="F4" s="3"/>
      <c r="G4" s="3"/>
      <c r="H4" s="3"/>
      <c r="I4" s="3"/>
    </row>
    <row r="5" spans="1:10">
      <c r="A5" s="30" t="s">
        <v>5</v>
      </c>
      <c r="B5" s="30"/>
      <c r="C5" s="30"/>
      <c r="D5" s="30"/>
      <c r="E5" s="3"/>
      <c r="F5" s="30" t="s">
        <v>11</v>
      </c>
      <c r="G5" s="30"/>
      <c r="H5" s="30"/>
      <c r="I5" s="3"/>
    </row>
    <row r="6" spans="1:10">
      <c r="A6" s="31" t="s">
        <v>27</v>
      </c>
      <c r="B6" s="31"/>
      <c r="C6" s="31"/>
      <c r="D6" s="31"/>
      <c r="E6" s="3"/>
      <c r="F6" s="30" t="s">
        <v>28</v>
      </c>
      <c r="G6" s="30"/>
      <c r="H6" s="30"/>
      <c r="I6" s="3"/>
    </row>
    <row r="7" spans="1:10">
      <c r="A7" s="31" t="s">
        <v>6</v>
      </c>
      <c r="B7" s="31"/>
      <c r="C7" s="31"/>
      <c r="D7" s="3"/>
      <c r="E7" s="3"/>
      <c r="F7" s="3" t="s">
        <v>23</v>
      </c>
      <c r="G7" s="3"/>
      <c r="H7" s="3"/>
      <c r="I7" s="3"/>
    </row>
    <row r="8" spans="1:10">
      <c r="A8" s="31" t="s">
        <v>7</v>
      </c>
      <c r="B8" s="31"/>
      <c r="C8" s="3"/>
      <c r="D8" s="3"/>
      <c r="E8" s="3"/>
      <c r="F8" s="3"/>
      <c r="G8" s="3"/>
      <c r="H8" s="3"/>
      <c r="I8" s="3"/>
    </row>
    <row r="9" spans="1:10">
      <c r="A9" s="31" t="s">
        <v>8</v>
      </c>
      <c r="B9" s="31"/>
      <c r="C9" s="3"/>
      <c r="D9" s="3"/>
      <c r="E9" s="3"/>
      <c r="F9" s="4" t="s">
        <v>0</v>
      </c>
      <c r="G9" s="4" t="s">
        <v>1</v>
      </c>
      <c r="H9" s="4" t="s">
        <v>2</v>
      </c>
      <c r="I9" s="4" t="s">
        <v>3</v>
      </c>
    </row>
    <row r="10" spans="1:10">
      <c r="A10" s="3" t="s">
        <v>9</v>
      </c>
      <c r="B10" s="3"/>
      <c r="C10" s="3"/>
      <c r="D10" s="3"/>
      <c r="E10" s="3"/>
      <c r="F10" s="5">
        <v>2015</v>
      </c>
      <c r="G10" s="6">
        <v>1350000</v>
      </c>
      <c r="H10" s="6">
        <v>229549.03</v>
      </c>
      <c r="I10" s="6">
        <f>SUM(Table43[[#This Row],[Principal]:[Interest]])</f>
        <v>1579549.03</v>
      </c>
    </row>
    <row r="11" spans="1:10">
      <c r="A11" s="33" t="s">
        <v>29</v>
      </c>
      <c r="B11" s="33"/>
      <c r="C11" s="33"/>
      <c r="D11" s="33"/>
      <c r="E11" s="3"/>
      <c r="F11" s="5">
        <v>2016</v>
      </c>
      <c r="G11" s="6">
        <v>390000</v>
      </c>
      <c r="H11" s="6">
        <v>241962.5</v>
      </c>
      <c r="I11" s="6">
        <f>SUM(Table43[[#This Row],[Principal]:[Interest]])</f>
        <v>631962.5</v>
      </c>
    </row>
    <row r="12" spans="1:10">
      <c r="A12" s="33"/>
      <c r="B12" s="33"/>
      <c r="C12" s="33"/>
      <c r="D12" s="33"/>
      <c r="E12" s="3"/>
      <c r="F12" s="5">
        <v>2017</v>
      </c>
      <c r="G12" s="6">
        <v>400000</v>
      </c>
      <c r="H12" s="6">
        <v>230062.5</v>
      </c>
      <c r="I12" s="6">
        <f>SUM(Table43[[#This Row],[Principal]:[Interest]])</f>
        <v>630062.5</v>
      </c>
    </row>
    <row r="13" spans="1:10">
      <c r="A13" s="3"/>
      <c r="B13" s="3"/>
      <c r="C13" s="3"/>
      <c r="D13" s="3"/>
      <c r="E13" s="3"/>
      <c r="F13" s="5">
        <v>2018</v>
      </c>
      <c r="G13" s="6">
        <v>415000</v>
      </c>
      <c r="H13" s="6">
        <v>213762.5</v>
      </c>
      <c r="I13" s="6">
        <f>SUM(Table43[[#This Row],[Principal]:[Interest]])</f>
        <v>628762.5</v>
      </c>
    </row>
    <row r="14" spans="1:10">
      <c r="A14" s="4" t="s">
        <v>0</v>
      </c>
      <c r="B14" s="4" t="s">
        <v>1</v>
      </c>
      <c r="C14" s="4" t="s">
        <v>2</v>
      </c>
      <c r="D14" s="4" t="s">
        <v>3</v>
      </c>
      <c r="E14" s="3"/>
      <c r="F14" s="5">
        <v>2019</v>
      </c>
      <c r="G14" s="6">
        <v>435000</v>
      </c>
      <c r="H14" s="6">
        <v>196762.5</v>
      </c>
      <c r="I14" s="6">
        <f>SUM(Table43[[#This Row],[Principal]:[Interest]])</f>
        <v>631762.5</v>
      </c>
    </row>
    <row r="15" spans="1:10">
      <c r="A15" s="5">
        <v>2013</v>
      </c>
      <c r="B15" s="6">
        <v>875000</v>
      </c>
      <c r="C15" s="6">
        <v>107750</v>
      </c>
      <c r="D15" s="6">
        <f>SUM(Table14[[#This Row],[Principal]:[Interest]])</f>
        <v>982750</v>
      </c>
      <c r="E15" s="3"/>
      <c r="F15" s="5">
        <v>2020</v>
      </c>
      <c r="G15" s="6">
        <v>445000</v>
      </c>
      <c r="H15" s="6">
        <v>183612.5</v>
      </c>
      <c r="I15" s="6">
        <f>SUM(Table43[[#This Row],[Principal]:[Interest]])</f>
        <v>628612.5</v>
      </c>
    </row>
    <row r="16" spans="1:10">
      <c r="A16" s="5">
        <v>2014</v>
      </c>
      <c r="B16" s="6">
        <v>885000</v>
      </c>
      <c r="C16" s="6">
        <v>90150</v>
      </c>
      <c r="D16" s="6">
        <f>SUM(Table14[[#This Row],[Principal]:[Interest]])</f>
        <v>975150</v>
      </c>
      <c r="E16" s="3"/>
      <c r="F16" s="5">
        <v>2021</v>
      </c>
      <c r="G16" s="6">
        <v>455000</v>
      </c>
      <c r="H16" s="6">
        <v>174612.5</v>
      </c>
      <c r="I16" s="6">
        <f>SUM(Table43[[#This Row],[Principal]:[Interest]])</f>
        <v>629612.5</v>
      </c>
    </row>
    <row r="17" spans="1:9">
      <c r="A17" s="5">
        <v>2015</v>
      </c>
      <c r="B17" s="6">
        <v>245000</v>
      </c>
      <c r="C17" s="6">
        <v>78850</v>
      </c>
      <c r="D17" s="6">
        <f>SUM(Table14[[#This Row],[Principal]:[Interest]])</f>
        <v>323850</v>
      </c>
      <c r="E17" s="3"/>
      <c r="F17" s="5">
        <v>2022</v>
      </c>
      <c r="G17" s="6">
        <v>465000</v>
      </c>
      <c r="H17" s="6">
        <v>163087.5</v>
      </c>
      <c r="I17" s="6">
        <f>SUM(Table43[[#This Row],[Principal]:[Interest]])</f>
        <v>628087.5</v>
      </c>
    </row>
    <row r="18" spans="1:9">
      <c r="A18" s="5">
        <v>2016</v>
      </c>
      <c r="B18" s="6">
        <v>250000</v>
      </c>
      <c r="C18" s="6">
        <v>73900</v>
      </c>
      <c r="D18" s="6">
        <f>SUM(Table14[[#This Row],[Principal]:[Interest]])</f>
        <v>323900</v>
      </c>
      <c r="E18" s="3"/>
      <c r="F18" s="5">
        <v>2023</v>
      </c>
      <c r="G18" s="6">
        <v>480000</v>
      </c>
      <c r="H18" s="6">
        <v>148912.5</v>
      </c>
      <c r="I18" s="6">
        <f>SUM(Table43[[#This Row],[Principal]:[Interest]])</f>
        <v>628912.5</v>
      </c>
    </row>
    <row r="19" spans="1:9">
      <c r="A19" s="5">
        <v>2017</v>
      </c>
      <c r="B19" s="6">
        <v>255000</v>
      </c>
      <c r="C19" s="6">
        <v>68850</v>
      </c>
      <c r="D19" s="6">
        <f>SUM(Table14[[#This Row],[Principal]:[Interest]])</f>
        <v>323850</v>
      </c>
      <c r="E19" s="3"/>
      <c r="F19" s="5">
        <v>2024</v>
      </c>
      <c r="G19" s="6">
        <v>495000</v>
      </c>
      <c r="H19" s="6">
        <v>134287.5</v>
      </c>
      <c r="I19" s="6">
        <f>SUM(Table43[[#This Row],[Principal]:[Interest]])</f>
        <v>629287.5</v>
      </c>
    </row>
    <row r="20" spans="1:9">
      <c r="A20" s="5">
        <v>2018</v>
      </c>
      <c r="B20" s="6">
        <v>260000</v>
      </c>
      <c r="C20" s="6">
        <v>63700</v>
      </c>
      <c r="D20" s="6">
        <f>SUM(Table14[[#This Row],[Principal]:[Interest]])</f>
        <v>323700</v>
      </c>
      <c r="E20" s="3"/>
      <c r="F20" s="5">
        <v>2025</v>
      </c>
      <c r="G20" s="6">
        <v>510000</v>
      </c>
      <c r="H20" s="6">
        <v>119212.5</v>
      </c>
      <c r="I20" s="6">
        <f>SUM(Table43[[#This Row],[Principal]:[Interest]])</f>
        <v>629212.5</v>
      </c>
    </row>
    <row r="21" spans="1:9">
      <c r="A21" s="5">
        <v>2019</v>
      </c>
      <c r="B21" s="6">
        <v>270000</v>
      </c>
      <c r="C21" s="6">
        <v>58400</v>
      </c>
      <c r="D21" s="6">
        <f>SUM(Table14[[#This Row],[Principal]:[Interest]])</f>
        <v>328400</v>
      </c>
      <c r="E21" s="3"/>
      <c r="F21" s="5">
        <v>2026</v>
      </c>
      <c r="G21" s="6">
        <v>525000</v>
      </c>
      <c r="H21" s="6">
        <v>103687.5</v>
      </c>
      <c r="I21" s="6">
        <f>SUM(Table43[[#This Row],[Principal]:[Interest]])</f>
        <v>628687.5</v>
      </c>
    </row>
    <row r="22" spans="1:9">
      <c r="A22" s="5">
        <v>2020</v>
      </c>
      <c r="B22" s="6">
        <v>275000</v>
      </c>
      <c r="C22" s="6">
        <v>52950</v>
      </c>
      <c r="D22" s="6">
        <f>SUM(Table14[[#This Row],[Principal]:[Interest]])</f>
        <v>327950</v>
      </c>
      <c r="E22" s="3"/>
      <c r="F22" s="5">
        <v>2027</v>
      </c>
      <c r="G22" s="6">
        <v>545000</v>
      </c>
      <c r="H22" s="6">
        <v>86956.25</v>
      </c>
      <c r="I22" s="6">
        <f>SUM(Table43[[#This Row],[Principal]:[Interest]])</f>
        <v>631956.25</v>
      </c>
    </row>
    <row r="23" spans="1:9">
      <c r="A23" s="5">
        <v>2021</v>
      </c>
      <c r="B23" s="6">
        <v>280000</v>
      </c>
      <c r="C23" s="6">
        <v>47400</v>
      </c>
      <c r="D23" s="6">
        <f>SUM(Table14[[#This Row],[Principal]:[Interest]])</f>
        <v>327400</v>
      </c>
      <c r="E23" s="3"/>
      <c r="F23" s="5">
        <v>2028</v>
      </c>
      <c r="G23" s="6">
        <v>560000</v>
      </c>
      <c r="H23" s="6">
        <v>69000</v>
      </c>
      <c r="I23" s="6">
        <f>SUM(Table43[[#This Row],[Principal]:[Interest]])</f>
        <v>629000</v>
      </c>
    </row>
    <row r="24" spans="1:9">
      <c r="A24" s="5">
        <v>2022</v>
      </c>
      <c r="B24" s="6">
        <v>285000</v>
      </c>
      <c r="C24" s="6">
        <v>41750</v>
      </c>
      <c r="D24" s="6">
        <f>SUM(Table14[[#This Row],[Principal]:[Interest]])</f>
        <v>326750</v>
      </c>
      <c r="E24" s="3"/>
      <c r="F24" s="5">
        <v>2029</v>
      </c>
      <c r="G24" s="6">
        <v>580000</v>
      </c>
      <c r="H24" s="6">
        <v>49750</v>
      </c>
      <c r="I24" s="6">
        <f>SUM(Table43[[#This Row],[Principal]:[Interest]])</f>
        <v>629750</v>
      </c>
    </row>
    <row r="25" spans="1:9">
      <c r="A25" s="5">
        <v>2023</v>
      </c>
      <c r="B25" s="6">
        <v>135000</v>
      </c>
      <c r="C25" s="6">
        <v>37550</v>
      </c>
      <c r="D25" s="6">
        <f>SUM(Table14[[#This Row],[Principal]:[Interest]])</f>
        <v>172550</v>
      </c>
      <c r="E25" s="3"/>
      <c r="F25" s="5">
        <v>2030</v>
      </c>
      <c r="G25" s="6">
        <v>600000</v>
      </c>
      <c r="H25" s="6">
        <v>29100</v>
      </c>
      <c r="I25" s="6">
        <f>SUM(Table43[[#This Row],[Principal]:[Interest]])</f>
        <v>629100</v>
      </c>
    </row>
    <row r="26" spans="1:9">
      <c r="A26" s="5">
        <v>2024</v>
      </c>
      <c r="B26" s="6">
        <v>145000</v>
      </c>
      <c r="C26" s="6">
        <v>34388</v>
      </c>
      <c r="D26" s="6">
        <f>SUM(Table14[[#This Row],[Principal]:[Interest]])</f>
        <v>179388</v>
      </c>
      <c r="E26" s="3"/>
      <c r="F26" s="5">
        <v>2031</v>
      </c>
      <c r="G26" s="6">
        <v>620000</v>
      </c>
      <c r="H26" s="6">
        <v>9300</v>
      </c>
      <c r="I26" s="6">
        <f>SUM(Table43[[#This Row],[Principal]:[Interest]])</f>
        <v>629300</v>
      </c>
    </row>
    <row r="27" spans="1:9">
      <c r="A27" s="5">
        <v>2025</v>
      </c>
      <c r="B27" s="6">
        <v>145000</v>
      </c>
      <c r="C27" s="6">
        <v>30763</v>
      </c>
      <c r="D27" s="6">
        <f>SUM(Table14[[#This Row],[Principal]:[Interest]])</f>
        <v>175763</v>
      </c>
      <c r="E27" s="3"/>
      <c r="F27" s="3" t="s">
        <v>3</v>
      </c>
      <c r="G27" s="7">
        <f>SUBTOTAL(109,Table43[Principal])</f>
        <v>9270000</v>
      </c>
      <c r="H27" s="7">
        <f>SUBTOTAL(109,Table43[Interest])</f>
        <v>2383617.7800000003</v>
      </c>
      <c r="I27" s="7">
        <f>SUBTOTAL(109,Table43[Total])</f>
        <v>11653617.780000001</v>
      </c>
    </row>
    <row r="28" spans="1:9">
      <c r="A28" s="5">
        <v>2026</v>
      </c>
      <c r="B28" s="6">
        <v>150000</v>
      </c>
      <c r="C28" s="6">
        <v>26700</v>
      </c>
      <c r="D28" s="6">
        <f>SUM(Table14[[#This Row],[Principal]:[Interest]])</f>
        <v>176700</v>
      </c>
      <c r="E28" s="3"/>
      <c r="F28" s="3"/>
      <c r="G28" s="3"/>
      <c r="H28" s="3"/>
      <c r="I28" s="3"/>
    </row>
    <row r="29" spans="1:9">
      <c r="A29" s="5">
        <v>2027</v>
      </c>
      <c r="B29" s="6">
        <v>155000</v>
      </c>
      <c r="C29" s="6">
        <v>22125</v>
      </c>
      <c r="D29" s="6">
        <f>SUM(Table14[[#This Row],[Principal]:[Interest]])</f>
        <v>177125</v>
      </c>
      <c r="E29" s="3"/>
      <c r="F29" s="3"/>
      <c r="G29" s="3"/>
      <c r="H29" s="3"/>
      <c r="I29" s="3"/>
    </row>
    <row r="30" spans="1:9">
      <c r="A30" s="5">
        <v>2028</v>
      </c>
      <c r="B30" s="6">
        <v>155000</v>
      </c>
      <c r="C30" s="6">
        <v>17475</v>
      </c>
      <c r="D30" s="6">
        <f>SUM(Table14[[#This Row],[Principal]:[Interest]])</f>
        <v>172475</v>
      </c>
      <c r="E30" s="3"/>
      <c r="F30" s="30" t="s">
        <v>12</v>
      </c>
      <c r="G30" s="30"/>
      <c r="H30" s="30"/>
      <c r="I30" s="3"/>
    </row>
    <row r="31" spans="1:9">
      <c r="A31" s="5">
        <v>2029</v>
      </c>
      <c r="B31" s="6">
        <v>165000</v>
      </c>
      <c r="C31" s="6">
        <v>12675</v>
      </c>
      <c r="D31" s="6">
        <f>SUM(Table14[[#This Row],[Principal]:[Interest]])</f>
        <v>177675</v>
      </c>
      <c r="E31" s="3"/>
      <c r="F31" s="30" t="s">
        <v>30</v>
      </c>
      <c r="G31" s="30"/>
      <c r="H31" s="30"/>
      <c r="I31" s="3"/>
    </row>
    <row r="32" spans="1:9">
      <c r="A32" s="5">
        <v>2030</v>
      </c>
      <c r="B32" s="6">
        <v>165000</v>
      </c>
      <c r="C32" s="6">
        <v>7725</v>
      </c>
      <c r="D32" s="6">
        <f>SUM(Table14[[#This Row],[Principal]:[Interest]])</f>
        <v>172725</v>
      </c>
      <c r="E32" s="3"/>
      <c r="F32" s="3"/>
      <c r="G32" s="3"/>
      <c r="H32" s="3"/>
      <c r="I32" s="3"/>
    </row>
    <row r="33" spans="1:9">
      <c r="A33" s="5">
        <v>2031</v>
      </c>
      <c r="B33" s="6">
        <v>175000</v>
      </c>
      <c r="C33" s="6">
        <v>2625</v>
      </c>
      <c r="D33" s="6">
        <f>SUM(Table14[[#This Row],[Principal]:[Interest]])</f>
        <v>177625</v>
      </c>
      <c r="E33" s="3"/>
      <c r="F33" s="4" t="s">
        <v>0</v>
      </c>
      <c r="G33" s="4" t="s">
        <v>1</v>
      </c>
      <c r="H33" s="4" t="s">
        <v>2</v>
      </c>
      <c r="I33" s="4" t="s">
        <v>3</v>
      </c>
    </row>
    <row r="34" spans="1:9">
      <c r="A34" s="5" t="s">
        <v>3</v>
      </c>
      <c r="B34" s="7">
        <f>SUBTOTAL(109,Table14[Principal])</f>
        <v>5270000</v>
      </c>
      <c r="C34" s="7">
        <f>SUBTOTAL(109,Table14[Interest])</f>
        <v>875726</v>
      </c>
      <c r="D34" s="7">
        <f>SUBTOTAL(109,Table14[Total])</f>
        <v>6145726</v>
      </c>
      <c r="E34" s="3"/>
      <c r="F34" s="5">
        <v>2016</v>
      </c>
      <c r="G34" s="8">
        <v>210000</v>
      </c>
      <c r="H34" s="8">
        <v>635511.81000000006</v>
      </c>
      <c r="I34" s="6">
        <f>SUM(Table4711[[#This Row],[Principal]:[Interest]])</f>
        <v>845511.81</v>
      </c>
    </row>
    <row r="35" spans="1:9">
      <c r="A35" s="3"/>
      <c r="B35" s="3"/>
      <c r="C35" s="3"/>
      <c r="D35" s="3"/>
      <c r="E35" s="3"/>
      <c r="F35" s="5">
        <v>2017</v>
      </c>
      <c r="G35" s="8">
        <v>150000</v>
      </c>
      <c r="H35" s="8">
        <v>673700</v>
      </c>
      <c r="I35" s="6">
        <f>SUM(Table4711[[#This Row],[Principal]:[Interest]])</f>
        <v>823700</v>
      </c>
    </row>
    <row r="36" spans="1:9">
      <c r="A36" s="3"/>
      <c r="B36" s="3"/>
      <c r="C36" s="3"/>
      <c r="D36" s="3"/>
      <c r="E36" s="3"/>
      <c r="F36" s="5">
        <v>2018</v>
      </c>
      <c r="G36" s="8">
        <v>150000</v>
      </c>
      <c r="H36" s="8">
        <v>669200</v>
      </c>
      <c r="I36" s="6">
        <f>SUM(Table4711[[#This Row],[Principal]:[Interest]])</f>
        <v>819200</v>
      </c>
    </row>
    <row r="37" spans="1:9">
      <c r="A37" s="30" t="s">
        <v>10</v>
      </c>
      <c r="B37" s="30"/>
      <c r="C37" s="30"/>
      <c r="D37" s="3"/>
      <c r="E37" s="3"/>
      <c r="F37" s="5">
        <v>2019</v>
      </c>
      <c r="G37" s="8">
        <v>175000</v>
      </c>
      <c r="H37" s="8">
        <v>664325</v>
      </c>
      <c r="I37" s="6">
        <f>SUM(Table4711[[#This Row],[Principal]:[Interest]])</f>
        <v>839325</v>
      </c>
    </row>
    <row r="38" spans="1:9">
      <c r="A38" s="31" t="s">
        <v>31</v>
      </c>
      <c r="B38" s="31"/>
      <c r="C38" s="31"/>
      <c r="D38" s="3"/>
      <c r="E38" s="3"/>
      <c r="F38" s="5">
        <v>2020</v>
      </c>
      <c r="G38" s="8">
        <v>800000</v>
      </c>
      <c r="H38" s="8">
        <v>649700</v>
      </c>
      <c r="I38" s="6">
        <f>SUM(Table4711[[#This Row],[Principal]:[Interest]])</f>
        <v>1449700</v>
      </c>
    </row>
    <row r="39" spans="1:9">
      <c r="A39" s="3"/>
      <c r="B39" s="3"/>
      <c r="C39" s="3"/>
      <c r="D39" s="3"/>
      <c r="E39" s="3"/>
      <c r="F39" s="5">
        <v>2021</v>
      </c>
      <c r="G39" s="8">
        <v>1185000</v>
      </c>
      <c r="H39" s="8">
        <v>608075</v>
      </c>
      <c r="I39" s="6">
        <f>SUM(Table4711[[#This Row],[Principal]:[Interest]])</f>
        <v>1793075</v>
      </c>
    </row>
    <row r="40" spans="1:9">
      <c r="A40" s="4" t="s">
        <v>0</v>
      </c>
      <c r="B40" s="4" t="s">
        <v>4</v>
      </c>
      <c r="C40" s="4" t="s">
        <v>2</v>
      </c>
      <c r="D40" s="4" t="s">
        <v>3</v>
      </c>
      <c r="E40" s="3"/>
      <c r="F40" s="5">
        <v>2022</v>
      </c>
      <c r="G40" s="8">
        <v>1245000</v>
      </c>
      <c r="H40" s="8">
        <v>547325</v>
      </c>
      <c r="I40" s="6">
        <f>SUM(Table4711[[#This Row],[Principal]:[Interest]])</f>
        <v>1792325</v>
      </c>
    </row>
    <row r="41" spans="1:9">
      <c r="A41" s="5">
        <v>2016</v>
      </c>
      <c r="B41" s="9">
        <v>150000</v>
      </c>
      <c r="C41" s="10">
        <v>300457.71000000002</v>
      </c>
      <c r="D41" s="6">
        <f>SUM(Table368[[#This Row],[Principal ]:[Interest]])</f>
        <v>450457.71</v>
      </c>
      <c r="E41" s="3"/>
      <c r="F41" s="5">
        <v>2023</v>
      </c>
      <c r="G41" s="8">
        <v>1305000</v>
      </c>
      <c r="H41" s="8">
        <v>483575</v>
      </c>
      <c r="I41" s="6">
        <f>SUM(Table4711[[#This Row],[Principal]:[Interest]])</f>
        <v>1788575</v>
      </c>
    </row>
    <row r="42" spans="1:9">
      <c r="A42" s="5">
        <v>2017</v>
      </c>
      <c r="B42" s="9">
        <v>150000</v>
      </c>
      <c r="C42" s="10">
        <v>292631.25</v>
      </c>
      <c r="D42" s="6">
        <f>SUM(Table368[[#This Row],[Principal ]:[Interest]])</f>
        <v>442631.25</v>
      </c>
      <c r="E42" s="3"/>
      <c r="F42" s="5">
        <v>2024</v>
      </c>
      <c r="G42" s="8">
        <v>1375000</v>
      </c>
      <c r="H42" s="8">
        <v>416575</v>
      </c>
      <c r="I42" s="6">
        <f>SUM(Table4711[[#This Row],[Principal]:[Interest]])</f>
        <v>1791575</v>
      </c>
    </row>
    <row r="43" spans="1:9">
      <c r="A43" s="5">
        <v>2018</v>
      </c>
      <c r="B43" s="9">
        <v>150000</v>
      </c>
      <c r="C43" s="10">
        <v>286631.25</v>
      </c>
      <c r="D43" s="6">
        <f>SUM(Table368[[#This Row],[Principal ]:[Interest]])</f>
        <v>436631.25</v>
      </c>
      <c r="E43" s="3"/>
      <c r="F43" s="5">
        <v>2025</v>
      </c>
      <c r="G43" s="8">
        <v>1430000</v>
      </c>
      <c r="H43" s="8">
        <v>360750</v>
      </c>
      <c r="I43" s="6">
        <f>SUM(Table4711[[#This Row],[Principal]:[Interest]])</f>
        <v>1790750</v>
      </c>
    </row>
    <row r="44" spans="1:9">
      <c r="A44" s="5">
        <v>2019</v>
      </c>
      <c r="B44" s="9">
        <v>150000</v>
      </c>
      <c r="C44" s="10">
        <v>280631.25</v>
      </c>
      <c r="D44" s="6">
        <f>SUM(Table368[[#This Row],[Principal ]:[Interest]])</f>
        <v>430631.25</v>
      </c>
      <c r="E44" s="3"/>
      <c r="F44" s="5">
        <v>2026</v>
      </c>
      <c r="G44" s="8">
        <v>1475000</v>
      </c>
      <c r="H44" s="8">
        <v>317175</v>
      </c>
      <c r="I44" s="6">
        <f>SUM(Table4711[[#This Row],[Principal]:[Interest]])</f>
        <v>1792175</v>
      </c>
    </row>
    <row r="45" spans="1:9">
      <c r="A45" s="5">
        <v>2020</v>
      </c>
      <c r="B45" s="9">
        <v>150000</v>
      </c>
      <c r="C45" s="10">
        <v>276131.25</v>
      </c>
      <c r="D45" s="6">
        <f>SUM(Table368[[#This Row],[Principal ]:[Interest]])</f>
        <v>426131.25</v>
      </c>
      <c r="E45" s="3"/>
      <c r="F45" s="5">
        <v>2027</v>
      </c>
      <c r="G45" s="8">
        <v>1520000</v>
      </c>
      <c r="H45" s="8">
        <v>272250</v>
      </c>
      <c r="I45" s="6">
        <f>SUM(Table4711[[#This Row],[Principal]:[Interest]])</f>
        <v>1792250</v>
      </c>
    </row>
    <row r="46" spans="1:9">
      <c r="A46" s="5">
        <v>2021</v>
      </c>
      <c r="B46" s="9">
        <v>150000</v>
      </c>
      <c r="C46" s="11">
        <v>271631.25</v>
      </c>
      <c r="D46" s="6">
        <f>SUM(Table368[[#This Row],[Principal ]:[Interest]])</f>
        <v>421631.25</v>
      </c>
      <c r="E46" s="3"/>
      <c r="F46" s="5">
        <v>2028</v>
      </c>
      <c r="G46" s="8">
        <v>1565000</v>
      </c>
      <c r="H46" s="8">
        <v>225975</v>
      </c>
      <c r="I46" s="6">
        <f>SUM(Table4711[[#This Row],[Principal]:[Interest]])</f>
        <v>1790975</v>
      </c>
    </row>
    <row r="47" spans="1:9">
      <c r="A47" s="5">
        <v>2022</v>
      </c>
      <c r="B47" s="12">
        <v>400000</v>
      </c>
      <c r="C47" s="11">
        <v>259381.25</v>
      </c>
      <c r="D47" s="6">
        <f>SUM(Table368[[#This Row],[Principal ]:[Interest]])</f>
        <v>659381.25</v>
      </c>
      <c r="E47" s="3"/>
      <c r="F47" s="5">
        <v>2029</v>
      </c>
      <c r="G47" s="8">
        <v>1615000</v>
      </c>
      <c r="H47" s="8">
        <v>178275</v>
      </c>
      <c r="I47" s="6">
        <f>SUM(Table4711[[#This Row],[Principal]:[Interest]])</f>
        <v>1793275</v>
      </c>
    </row>
    <row r="48" spans="1:9">
      <c r="A48" s="5">
        <v>2023</v>
      </c>
      <c r="B48" s="12">
        <v>420000</v>
      </c>
      <c r="C48" s="11">
        <v>238881.25</v>
      </c>
      <c r="D48" s="6">
        <f>SUM(Table368[[#This Row],[Principal ]:[Interest]])</f>
        <v>658881.25</v>
      </c>
      <c r="E48" s="3"/>
      <c r="F48" s="5">
        <v>2030</v>
      </c>
      <c r="G48" s="8">
        <v>1660000</v>
      </c>
      <c r="H48" s="8">
        <v>129150</v>
      </c>
      <c r="I48" s="6">
        <f>SUM(Table4711[[#This Row],[Principal]:[Interest]])</f>
        <v>1789150</v>
      </c>
    </row>
    <row r="49" spans="1:9">
      <c r="A49" s="5">
        <v>2024</v>
      </c>
      <c r="B49" s="12">
        <v>445000</v>
      </c>
      <c r="C49" s="11">
        <v>217256.25</v>
      </c>
      <c r="D49" s="6">
        <f>SUM(Table368[[#This Row],[Principal ]:[Interest]])</f>
        <v>662256.25</v>
      </c>
      <c r="E49" s="3"/>
      <c r="F49" s="5">
        <v>2031</v>
      </c>
      <c r="G49" s="8">
        <v>1710000</v>
      </c>
      <c r="H49" s="8">
        <v>78600</v>
      </c>
      <c r="I49" s="6">
        <f>SUM(Table4711[[#This Row],[Principal]:[Interest]])</f>
        <v>1788600</v>
      </c>
    </row>
    <row r="50" spans="1:9">
      <c r="A50" s="5">
        <v>2025</v>
      </c>
      <c r="B50" s="12">
        <v>465000</v>
      </c>
      <c r="C50" s="11">
        <v>196831.25</v>
      </c>
      <c r="D50" s="6">
        <f>SUM(Table368[[#This Row],[Principal ]:[Interest]])</f>
        <v>661831.25</v>
      </c>
      <c r="E50" s="3"/>
      <c r="F50" s="5">
        <v>2032</v>
      </c>
      <c r="G50" s="8">
        <v>1765000</v>
      </c>
      <c r="H50" s="8">
        <v>26475</v>
      </c>
      <c r="I50" s="6">
        <f>SUM(Table4711[[#This Row],[Principal]:[Interest]])</f>
        <v>1791475</v>
      </c>
    </row>
    <row r="51" spans="1:9">
      <c r="A51" s="5">
        <v>2026</v>
      </c>
      <c r="B51" s="12">
        <v>485000</v>
      </c>
      <c r="C51" s="11">
        <v>177831.25</v>
      </c>
      <c r="D51" s="6">
        <f>SUM(Table368[[#This Row],[Principal ]:[Interest]])</f>
        <v>662831.25</v>
      </c>
      <c r="E51" s="3"/>
      <c r="F51" s="3" t="s">
        <v>3</v>
      </c>
      <c r="G51" s="7">
        <f>SUBTOTAL(109,Table4711[Principal])</f>
        <v>19335000</v>
      </c>
      <c r="H51" s="7">
        <f>SUBTOTAL(109,Table4711[Interest])</f>
        <v>6936636.8100000005</v>
      </c>
      <c r="I51" s="7">
        <f>SUBTOTAL(109,Table4711[Total])</f>
        <v>26271636.810000002</v>
      </c>
    </row>
    <row r="52" spans="1:9">
      <c r="A52" s="5">
        <v>2027</v>
      </c>
      <c r="B52" s="12">
        <v>500000</v>
      </c>
      <c r="C52" s="11">
        <v>160631.25</v>
      </c>
      <c r="D52" s="6">
        <f>SUM(Table368[[#This Row],[Principal ]:[Interest]])</f>
        <v>660631.25</v>
      </c>
      <c r="E52" s="3"/>
      <c r="F52" s="3"/>
      <c r="G52" s="3"/>
      <c r="H52" s="3"/>
      <c r="I52" s="3"/>
    </row>
    <row r="53" spans="1:9">
      <c r="A53" s="5">
        <v>2028</v>
      </c>
      <c r="B53" s="12">
        <v>515000</v>
      </c>
      <c r="C53" s="11">
        <v>145406.25</v>
      </c>
      <c r="D53" s="6">
        <f>SUM(Table368[[#This Row],[Principal ]:[Interest]])</f>
        <v>660406.25</v>
      </c>
      <c r="E53" s="3"/>
      <c r="F53" s="3"/>
      <c r="G53" s="3"/>
      <c r="H53" s="3"/>
      <c r="I53" s="3"/>
    </row>
    <row r="54" spans="1:9">
      <c r="A54" s="5">
        <v>2029</v>
      </c>
      <c r="B54" s="12">
        <v>530000</v>
      </c>
      <c r="C54" s="11">
        <v>129731.25</v>
      </c>
      <c r="D54" s="6">
        <f>SUM(Table368[[#This Row],[Principal ]:[Interest]])</f>
        <v>659731.25</v>
      </c>
      <c r="E54" s="3"/>
      <c r="F54" s="30" t="s">
        <v>13</v>
      </c>
      <c r="G54" s="30"/>
      <c r="H54" s="3"/>
      <c r="I54" s="3"/>
    </row>
    <row r="55" spans="1:9">
      <c r="A55" s="5">
        <v>2030</v>
      </c>
      <c r="B55" s="12">
        <v>550000</v>
      </c>
      <c r="C55" s="11">
        <v>112843.74</v>
      </c>
      <c r="D55" s="6">
        <f>SUM(Table368[[#This Row],[Principal ]:[Interest]])</f>
        <v>662843.74</v>
      </c>
      <c r="E55" s="3"/>
      <c r="F55" s="30" t="s">
        <v>14</v>
      </c>
      <c r="G55" s="30"/>
      <c r="H55" s="30"/>
      <c r="I55" s="3"/>
    </row>
    <row r="56" spans="1:9">
      <c r="A56" s="5">
        <v>2031</v>
      </c>
      <c r="B56" s="12">
        <v>565000</v>
      </c>
      <c r="C56" s="11">
        <v>94725</v>
      </c>
      <c r="D56" s="6">
        <f>SUM(Table368[[#This Row],[Principal ]:[Interest]])</f>
        <v>659725</v>
      </c>
      <c r="E56" s="3"/>
      <c r="F56" s="31" t="s">
        <v>24</v>
      </c>
      <c r="G56" s="31"/>
      <c r="H56" s="3"/>
      <c r="I56" s="3"/>
    </row>
    <row r="57" spans="1:9">
      <c r="A57" s="5">
        <v>2032</v>
      </c>
      <c r="B57" s="12">
        <v>585000</v>
      </c>
      <c r="C57" s="13">
        <v>75671.88</v>
      </c>
      <c r="D57" s="6">
        <f>SUM(Table368[[#This Row],[Principal ]:[Interest]])</f>
        <v>660671.88</v>
      </c>
      <c r="E57" s="3"/>
      <c r="F57" s="31" t="s">
        <v>15</v>
      </c>
      <c r="G57" s="31"/>
      <c r="H57" s="31"/>
      <c r="I57" s="31"/>
    </row>
    <row r="58" spans="1:9">
      <c r="A58" s="5">
        <v>2033</v>
      </c>
      <c r="B58" s="12">
        <v>605000</v>
      </c>
      <c r="C58" s="13">
        <v>55212.5</v>
      </c>
      <c r="D58" s="6">
        <f>SUM(Table368[[#This Row],[Principal ]:[Interest]])</f>
        <v>660212.5</v>
      </c>
      <c r="E58" s="3"/>
      <c r="F58" s="31" t="s">
        <v>20</v>
      </c>
      <c r="G58" s="31"/>
      <c r="H58" s="31"/>
      <c r="I58" s="31"/>
    </row>
    <row r="59" spans="1:9">
      <c r="A59" s="5">
        <v>2034</v>
      </c>
      <c r="B59" s="12">
        <v>625000</v>
      </c>
      <c r="C59" s="13">
        <v>33687.5</v>
      </c>
      <c r="D59" s="6">
        <f>SUM(Table368[[#This Row],[Principal ]:[Interest]])</f>
        <v>658687.5</v>
      </c>
      <c r="E59" s="3"/>
      <c r="F59" s="31" t="s">
        <v>21</v>
      </c>
      <c r="G59" s="31"/>
      <c r="H59" s="31"/>
      <c r="I59" s="31"/>
    </row>
    <row r="60" spans="1:9">
      <c r="A60" s="5">
        <v>2035</v>
      </c>
      <c r="B60" s="12">
        <v>650000</v>
      </c>
      <c r="C60" s="13">
        <v>11375</v>
      </c>
      <c r="D60" s="6">
        <f>SUM(Table368[[#This Row],[Principal ]:[Interest]])</f>
        <v>661375</v>
      </c>
      <c r="E60" s="3"/>
      <c r="F60" s="3" t="s">
        <v>16</v>
      </c>
      <c r="G60" s="3"/>
      <c r="H60" s="3"/>
      <c r="I60" s="3"/>
    </row>
    <row r="61" spans="1:9">
      <c r="A61" s="3" t="s">
        <v>3</v>
      </c>
      <c r="B61" s="7">
        <f>SUBTOTAL(109,Table368[[Principal ]])</f>
        <v>8240000</v>
      </c>
      <c r="C61" s="7">
        <f>SUBTOTAL(109,Table368[Interest])</f>
        <v>3617579.58</v>
      </c>
      <c r="D61" s="7">
        <f>SUBTOTAL(109,Table368[Total])</f>
        <v>11857579.58</v>
      </c>
      <c r="E61" s="3"/>
      <c r="F61" s="3" t="s">
        <v>17</v>
      </c>
      <c r="G61" s="3"/>
      <c r="H61" s="3"/>
      <c r="I61" s="3"/>
    </row>
    <row r="62" spans="1:9">
      <c r="F62" s="3" t="s">
        <v>18</v>
      </c>
      <c r="G62" s="3"/>
      <c r="H62" s="3"/>
      <c r="I62" s="3"/>
    </row>
    <row r="63" spans="1:9">
      <c r="A63" s="3"/>
      <c r="B63" s="3"/>
      <c r="C63" s="3"/>
      <c r="D63" s="3"/>
      <c r="E63" s="3"/>
      <c r="F63" s="3" t="s">
        <v>19</v>
      </c>
      <c r="G63" s="3"/>
      <c r="H63" s="3"/>
      <c r="I63" s="3"/>
    </row>
    <row r="64" spans="1:9">
      <c r="A64" s="30" t="s">
        <v>26</v>
      </c>
      <c r="B64" s="30"/>
      <c r="C64" s="30"/>
      <c r="D64" s="3"/>
      <c r="E64" s="3"/>
      <c r="F64" s="31" t="s">
        <v>22</v>
      </c>
      <c r="G64" s="31"/>
      <c r="H64" s="31"/>
      <c r="I64" s="3"/>
    </row>
    <row r="65" spans="1:10">
      <c r="A65" s="30" t="s">
        <v>32</v>
      </c>
      <c r="B65" s="30"/>
      <c r="C65" s="30"/>
      <c r="D65" s="3"/>
      <c r="E65" s="3"/>
      <c r="F65" s="3"/>
      <c r="G65" s="3"/>
      <c r="H65" s="3"/>
      <c r="I65" s="3"/>
    </row>
    <row r="66" spans="1:10">
      <c r="A66" s="3"/>
      <c r="B66" s="3"/>
      <c r="C66" s="3"/>
      <c r="D66" s="3"/>
      <c r="E66" s="3"/>
      <c r="F66" s="3"/>
      <c r="G66" s="3"/>
      <c r="H66" s="3"/>
      <c r="I66" s="3"/>
    </row>
    <row r="67" spans="1:10">
      <c r="A67" s="5" t="s">
        <v>0</v>
      </c>
      <c r="B67" s="5" t="s">
        <v>4</v>
      </c>
      <c r="C67" s="5" t="s">
        <v>2</v>
      </c>
      <c r="D67" s="5" t="s">
        <v>3</v>
      </c>
      <c r="E67" s="3"/>
      <c r="F67" s="4" t="s">
        <v>0</v>
      </c>
      <c r="G67" s="4" t="s">
        <v>4</v>
      </c>
      <c r="H67" s="4" t="s">
        <v>2</v>
      </c>
      <c r="I67" s="4" t="s">
        <v>3</v>
      </c>
    </row>
    <row r="68" spans="1:10">
      <c r="A68" s="5">
        <v>2020</v>
      </c>
      <c r="B68" s="6">
        <v>0</v>
      </c>
      <c r="C68" s="6">
        <v>101769</v>
      </c>
      <c r="D68" s="6">
        <f>SUM(Table913[[#This Row],[Principal ]:[Interest]])</f>
        <v>101769</v>
      </c>
      <c r="E68" s="3"/>
      <c r="F68" s="5">
        <v>2017</v>
      </c>
      <c r="G68" s="6">
        <v>0</v>
      </c>
      <c r="H68" s="6">
        <v>182442</v>
      </c>
      <c r="I68" s="6">
        <f>SUM(Table3912[[#This Row],[Principal ]:[Interest]])</f>
        <v>182442</v>
      </c>
    </row>
    <row r="69" spans="1:10">
      <c r="A69" s="5">
        <v>2021</v>
      </c>
      <c r="B69" s="6">
        <v>240000</v>
      </c>
      <c r="C69" s="6">
        <v>252006</v>
      </c>
      <c r="D69" s="6">
        <f>SUM(Table913[[#This Row],[Principal ]:[Interest]])</f>
        <v>492006</v>
      </c>
      <c r="E69" s="3"/>
      <c r="F69" s="5">
        <v>2018</v>
      </c>
      <c r="G69" s="6">
        <v>190000</v>
      </c>
      <c r="H69" s="6">
        <v>214150</v>
      </c>
      <c r="I69" s="6">
        <f>SUM(Table3912[[#This Row],[Principal ]:[Interest]])</f>
        <v>404150</v>
      </c>
    </row>
    <row r="70" spans="1:10">
      <c r="A70" s="5">
        <v>2022</v>
      </c>
      <c r="B70" s="6">
        <v>255000</v>
      </c>
      <c r="C70" s="6">
        <v>239631</v>
      </c>
      <c r="D70" s="6">
        <f>SUM(Table913[[#This Row],[Principal ]:[Interest]])</f>
        <v>494631</v>
      </c>
      <c r="E70" s="3"/>
      <c r="F70" s="5">
        <v>2019</v>
      </c>
      <c r="G70" s="6">
        <v>190000</v>
      </c>
      <c r="H70" s="6">
        <v>210350</v>
      </c>
      <c r="I70" s="6">
        <f>SUM(Table3912[[#This Row],[Principal ]:[Interest]])</f>
        <v>400350</v>
      </c>
    </row>
    <row r="71" spans="1:10">
      <c r="A71" s="5">
        <v>2023</v>
      </c>
      <c r="B71" s="6">
        <v>265000</v>
      </c>
      <c r="C71" s="6">
        <v>226631</v>
      </c>
      <c r="D71" s="6">
        <f>SUM(Table913[[#This Row],[Principal ]:[Interest]])</f>
        <v>491631</v>
      </c>
      <c r="E71" s="3"/>
      <c r="F71" s="5">
        <v>2020</v>
      </c>
      <c r="G71" s="6">
        <v>190000</v>
      </c>
      <c r="H71" s="6">
        <v>206550</v>
      </c>
      <c r="I71" s="6">
        <f>SUM(Table3912[[#This Row],[Principal ]:[Interest]])</f>
        <v>396550</v>
      </c>
    </row>
    <row r="72" spans="1:10">
      <c r="A72" s="5">
        <v>2024</v>
      </c>
      <c r="B72" s="6">
        <v>280000</v>
      </c>
      <c r="C72" s="6">
        <v>213006</v>
      </c>
      <c r="D72" s="6">
        <f>SUM(Table913[[#This Row],[Principal ]:[Interest]])</f>
        <v>493006</v>
      </c>
      <c r="E72" s="3"/>
      <c r="F72" s="5">
        <v>2021</v>
      </c>
      <c r="G72" s="6">
        <v>2865000</v>
      </c>
      <c r="H72" s="6">
        <v>161675</v>
      </c>
      <c r="I72" s="6">
        <f>SUM(Table3912[[#This Row],[Principal ]:[Interest]])</f>
        <v>3026675</v>
      </c>
    </row>
    <row r="73" spans="1:10">
      <c r="A73" s="5">
        <v>2025</v>
      </c>
      <c r="B73" s="6">
        <v>295000</v>
      </c>
      <c r="C73" s="6">
        <v>198631</v>
      </c>
      <c r="D73" s="6">
        <f>SUM(Table913[[#This Row],[Principal ]:[Interest]])</f>
        <v>493631</v>
      </c>
      <c r="E73" s="3"/>
      <c r="F73" s="5">
        <v>2022</v>
      </c>
      <c r="G73" s="6">
        <v>2940000</v>
      </c>
      <c r="H73" s="6">
        <v>89300</v>
      </c>
      <c r="I73" s="6">
        <f>SUM(Table3912[[#This Row],[Principal ]:[Interest]])</f>
        <v>3029300</v>
      </c>
    </row>
    <row r="74" spans="1:10">
      <c r="A74" s="5">
        <v>2026</v>
      </c>
      <c r="B74" s="6">
        <v>310000</v>
      </c>
      <c r="C74" s="6">
        <v>183506</v>
      </c>
      <c r="D74" s="6">
        <f>SUM(Table913[[#This Row],[Principal ]:[Interest]])</f>
        <v>493506</v>
      </c>
      <c r="E74" s="3"/>
      <c r="F74" s="5">
        <v>2023</v>
      </c>
      <c r="G74" s="6">
        <v>2995000</v>
      </c>
      <c r="H74" s="6">
        <v>29950</v>
      </c>
      <c r="I74" s="6">
        <f>SUM(Table3912[[#This Row],[Principal ]:[Interest]])</f>
        <v>3024950</v>
      </c>
    </row>
    <row r="75" spans="1:10">
      <c r="A75" s="5">
        <v>2027</v>
      </c>
      <c r="B75" s="6">
        <v>325000</v>
      </c>
      <c r="C75" s="6">
        <v>167631</v>
      </c>
      <c r="D75" s="6">
        <f>SUM(Table913[[#This Row],[Principal ]:[Interest]])</f>
        <v>492631</v>
      </c>
      <c r="E75" s="3"/>
      <c r="F75" s="3" t="s">
        <v>3</v>
      </c>
      <c r="G75" s="7">
        <f>SUBTOTAL(109,Table3912[[Principal ]])</f>
        <v>9370000</v>
      </c>
      <c r="H75" s="7">
        <f>SUBTOTAL(109,Table3912[Interest])</f>
        <v>1094417</v>
      </c>
      <c r="I75" s="7">
        <f>SUBTOTAL(109,Table3912[Total])</f>
        <v>10464417</v>
      </c>
    </row>
    <row r="76" spans="1:10">
      <c r="A76" s="5">
        <v>2028</v>
      </c>
      <c r="B76" s="6">
        <v>340000</v>
      </c>
      <c r="C76" s="6">
        <v>151006</v>
      </c>
      <c r="D76" s="6">
        <f>SUM(Table913[[#This Row],[Principal ]:[Interest]])</f>
        <v>491006</v>
      </c>
      <c r="E76" s="3"/>
      <c r="F76" s="3"/>
      <c r="G76" s="3"/>
      <c r="H76" s="3"/>
      <c r="I76" s="3"/>
    </row>
    <row r="77" spans="1:10">
      <c r="A77" s="5">
        <v>2029</v>
      </c>
      <c r="B77" s="6">
        <v>355000</v>
      </c>
      <c r="C77" s="6">
        <v>138956</v>
      </c>
      <c r="D77" s="6">
        <f>SUM(Table913[[#This Row],[Principal ]:[Interest]])</f>
        <v>493956</v>
      </c>
      <c r="E77" s="3"/>
      <c r="F77" s="35" t="s">
        <v>33</v>
      </c>
      <c r="G77" s="35"/>
      <c r="H77" s="35"/>
      <c r="I77" s="35"/>
    </row>
    <row r="78" spans="1:10">
      <c r="A78" s="5">
        <v>2030</v>
      </c>
      <c r="B78" s="6">
        <v>360000</v>
      </c>
      <c r="C78" s="6">
        <v>131806</v>
      </c>
      <c r="D78" s="6">
        <f>SUM(Table913[[#This Row],[Principal ]:[Interest]])</f>
        <v>491806</v>
      </c>
      <c r="E78" s="3"/>
      <c r="F78" s="35"/>
      <c r="G78" s="35"/>
      <c r="H78" s="35"/>
      <c r="I78" s="35"/>
      <c r="J78" s="14"/>
    </row>
    <row r="79" spans="1:10">
      <c r="A79" s="5">
        <v>2031</v>
      </c>
      <c r="B79" s="6">
        <v>370000</v>
      </c>
      <c r="C79" s="6">
        <v>124506</v>
      </c>
      <c r="D79" s="6">
        <f>SUM(Table913[[#This Row],[Principal ]:[Interest]])</f>
        <v>494506</v>
      </c>
      <c r="E79" s="3"/>
      <c r="F79" s="30" t="s">
        <v>14</v>
      </c>
      <c r="G79" s="30"/>
      <c r="H79" s="30"/>
      <c r="I79" s="30"/>
      <c r="J79" s="30"/>
    </row>
    <row r="80" spans="1:10">
      <c r="A80" s="5">
        <v>2032</v>
      </c>
      <c r="B80" s="6">
        <v>375000</v>
      </c>
      <c r="C80" s="6">
        <v>117056</v>
      </c>
      <c r="D80" s="6">
        <f>SUM(Table913[[#This Row],[Principal ]:[Interest]])</f>
        <v>492056</v>
      </c>
      <c r="E80" s="3"/>
      <c r="F80" s="34" t="s">
        <v>35</v>
      </c>
      <c r="G80" s="34"/>
      <c r="H80" s="34"/>
      <c r="I80" s="34"/>
      <c r="J80" s="3"/>
    </row>
    <row r="81" spans="1:20">
      <c r="A81" s="5">
        <v>2033</v>
      </c>
      <c r="B81" s="6">
        <v>385000</v>
      </c>
      <c r="C81" s="6">
        <v>109456</v>
      </c>
      <c r="D81" s="6">
        <f>SUM(Table913[[#This Row],[Principal ]:[Interest]])</f>
        <v>494456</v>
      </c>
      <c r="E81" s="3"/>
      <c r="F81" s="34"/>
      <c r="G81" s="34"/>
      <c r="H81" s="34"/>
      <c r="I81" s="34"/>
      <c r="J81" s="3"/>
    </row>
    <row r="82" spans="1:20">
      <c r="A82" s="5">
        <v>2034</v>
      </c>
      <c r="B82" s="6">
        <v>390000</v>
      </c>
      <c r="C82" s="6">
        <v>101706</v>
      </c>
      <c r="D82" s="6">
        <f>SUM(Table913[[#This Row],[Principal ]:[Interest]])</f>
        <v>491706</v>
      </c>
      <c r="E82" s="3"/>
      <c r="F82" s="34"/>
      <c r="G82" s="34"/>
      <c r="H82" s="34"/>
      <c r="I82" s="34"/>
      <c r="J82" s="3"/>
    </row>
    <row r="83" spans="1:20">
      <c r="A83" s="5">
        <v>2035</v>
      </c>
      <c r="B83" s="6">
        <v>400000</v>
      </c>
      <c r="C83" s="6">
        <v>93806</v>
      </c>
      <c r="D83" s="6">
        <f>SUM(Table913[[#This Row],[Principal ]:[Interest]])</f>
        <v>493806</v>
      </c>
      <c r="E83" s="3"/>
      <c r="F83" s="34"/>
      <c r="G83" s="34"/>
      <c r="H83" s="34"/>
      <c r="I83" s="34"/>
      <c r="J83" s="3"/>
    </row>
    <row r="84" spans="1:20">
      <c r="A84" s="5">
        <v>2036</v>
      </c>
      <c r="B84" s="6">
        <v>405000</v>
      </c>
      <c r="C84" s="6">
        <v>85756</v>
      </c>
      <c r="D84" s="6">
        <f>SUM(Table913[[#This Row],[Principal ]:[Interest]])</f>
        <v>490756</v>
      </c>
      <c r="E84" s="3"/>
      <c r="F84" s="34"/>
      <c r="G84" s="34"/>
      <c r="H84" s="34"/>
      <c r="I84" s="34"/>
      <c r="J84" s="3"/>
    </row>
    <row r="85" spans="1:20">
      <c r="A85" s="5">
        <v>2037</v>
      </c>
      <c r="B85" s="6">
        <v>415000</v>
      </c>
      <c r="C85" s="6">
        <v>77556</v>
      </c>
      <c r="D85" s="6">
        <f>SUM(Table913[[#This Row],[Principal ]:[Interest]])</f>
        <v>492556</v>
      </c>
      <c r="E85" s="3"/>
      <c r="F85" s="34"/>
      <c r="G85" s="34"/>
      <c r="H85" s="34"/>
      <c r="I85" s="34"/>
      <c r="J85" s="16"/>
    </row>
    <row r="86" spans="1:20">
      <c r="A86" s="5">
        <v>2038</v>
      </c>
      <c r="B86" s="6">
        <v>425000</v>
      </c>
      <c r="C86" s="6">
        <v>69156</v>
      </c>
      <c r="D86" s="6">
        <f>SUM(Table913[[#This Row],[Principal ]:[Interest]])</f>
        <v>494156</v>
      </c>
      <c r="E86" s="3"/>
      <c r="F86" s="14" t="s">
        <v>34</v>
      </c>
      <c r="G86" s="3"/>
      <c r="H86" s="15">
        <v>46090000</v>
      </c>
      <c r="I86" s="15"/>
      <c r="J86" s="3"/>
    </row>
    <row r="87" spans="1:20">
      <c r="A87" s="5">
        <v>2039</v>
      </c>
      <c r="B87" s="6">
        <v>430000</v>
      </c>
      <c r="C87" s="6">
        <v>60606</v>
      </c>
      <c r="D87" s="6">
        <f>SUM(Table913[[#This Row],[Principal ]:[Interest]])</f>
        <v>490606</v>
      </c>
      <c r="E87" s="3"/>
      <c r="F87" s="3" t="s">
        <v>0</v>
      </c>
      <c r="G87" s="3" t="s">
        <v>1</v>
      </c>
      <c r="H87" s="3" t="s">
        <v>2</v>
      </c>
      <c r="I87" s="3" t="s">
        <v>3</v>
      </c>
      <c r="J87" s="3"/>
    </row>
    <row r="88" spans="1:20">
      <c r="A88" s="5">
        <v>2040</v>
      </c>
      <c r="B88" s="6">
        <v>440000</v>
      </c>
      <c r="C88" s="6">
        <v>51906</v>
      </c>
      <c r="D88" s="6">
        <f>SUM(Table913[[#This Row],[Principal ]:[Interest]])</f>
        <v>491906</v>
      </c>
      <c r="E88" s="3"/>
      <c r="F88" s="5">
        <v>2021</v>
      </c>
      <c r="G88" s="5"/>
      <c r="H88" s="5"/>
      <c r="I88" s="17">
        <f>SUM(Table2[[#This Row],[Principal]:[Interest]])</f>
        <v>0</v>
      </c>
      <c r="J88" s="3"/>
    </row>
    <row r="89" spans="1:20">
      <c r="A89" s="5">
        <v>2041</v>
      </c>
      <c r="B89" s="6">
        <v>450000</v>
      </c>
      <c r="C89" s="6">
        <v>43006</v>
      </c>
      <c r="D89" s="6">
        <f>SUM(Table913[[#This Row],[Principal ]:[Interest]])</f>
        <v>493006</v>
      </c>
      <c r="E89" s="3"/>
      <c r="F89" s="5">
        <v>2022</v>
      </c>
      <c r="G89" s="17">
        <v>715000</v>
      </c>
      <c r="H89" s="17">
        <v>1501380</v>
      </c>
      <c r="I89" s="17">
        <f>SUM(Table2[[#This Row],[Principal]:[Interest]])</f>
        <v>2216380</v>
      </c>
      <c r="J89" s="3"/>
    </row>
    <row r="90" spans="1:20">
      <c r="A90" s="5">
        <v>2042</v>
      </c>
      <c r="B90" s="6">
        <v>460000</v>
      </c>
      <c r="C90" s="6">
        <v>33906</v>
      </c>
      <c r="D90" s="6">
        <f>SUM(Table913[[#This Row],[Principal ]:[Interest]])</f>
        <v>493906</v>
      </c>
      <c r="E90" s="3"/>
      <c r="F90" s="5">
        <v>2023</v>
      </c>
      <c r="G90" s="17">
        <v>905000</v>
      </c>
      <c r="H90" s="17">
        <v>1312381</v>
      </c>
      <c r="I90" s="17">
        <f>SUM(Table2[[#This Row],[Principal]:[Interest]])</f>
        <v>2217381</v>
      </c>
      <c r="J90" s="3"/>
    </row>
    <row r="91" spans="1:20">
      <c r="A91" s="5">
        <v>2043</v>
      </c>
      <c r="B91" s="6">
        <v>470000</v>
      </c>
      <c r="C91" s="6">
        <v>24606</v>
      </c>
      <c r="D91" s="6">
        <f>SUM(Table913[[#This Row],[Principal ]:[Interest]])</f>
        <v>494606</v>
      </c>
      <c r="E91" s="3"/>
      <c r="F91" s="5">
        <v>2024</v>
      </c>
      <c r="G91" s="17">
        <v>950000</v>
      </c>
      <c r="H91" s="17">
        <v>1266006</v>
      </c>
      <c r="I91" s="17">
        <f>SUM(Table2[[#This Row],[Principal]:[Interest]])</f>
        <v>2216006</v>
      </c>
      <c r="J91" s="3"/>
    </row>
    <row r="92" spans="1:20">
      <c r="A92" s="5">
        <v>2044</v>
      </c>
      <c r="B92" s="6">
        <v>480000</v>
      </c>
      <c r="C92" s="6">
        <v>15106</v>
      </c>
      <c r="D92" s="6">
        <f>SUM(Table913[[#This Row],[Principal ]:[Interest]])</f>
        <v>495106</v>
      </c>
      <c r="E92" s="3"/>
      <c r="F92" s="5">
        <v>2025</v>
      </c>
      <c r="G92" s="17">
        <v>1000000</v>
      </c>
      <c r="H92" s="17">
        <v>1217256</v>
      </c>
      <c r="I92" s="17">
        <f>SUM(Table2[[#This Row],[Principal]:[Interest]])</f>
        <v>2217256</v>
      </c>
      <c r="J92" s="3"/>
    </row>
    <row r="93" spans="1:20">
      <c r="A93" s="5">
        <v>2045</v>
      </c>
      <c r="B93" s="6">
        <v>485000</v>
      </c>
      <c r="C93" s="6">
        <v>5153</v>
      </c>
      <c r="D93" s="6">
        <f>SUM(Table913[[#This Row],[Principal ]:[Interest]])</f>
        <v>490153</v>
      </c>
      <c r="E93" s="3"/>
      <c r="F93" s="5">
        <v>2026</v>
      </c>
      <c r="G93" s="17">
        <v>1050000</v>
      </c>
      <c r="H93" s="17">
        <v>1166006</v>
      </c>
      <c r="I93" s="17">
        <f>SUM(Table2[[#This Row],[Principal]:[Interest]])</f>
        <v>2216006</v>
      </c>
      <c r="J93" s="3"/>
      <c r="P93" s="3"/>
      <c r="Q93" s="3"/>
      <c r="R93" s="3"/>
      <c r="S93" s="3"/>
      <c r="T93" s="3"/>
    </row>
    <row r="94" spans="1:20">
      <c r="A94" s="5" t="s">
        <v>3</v>
      </c>
      <c r="B94" s="7">
        <f>SUBTOTAL(109,Table913[[Principal ]])</f>
        <v>9405000</v>
      </c>
      <c r="C94" s="7">
        <f>SUBTOTAL(109,Table913[Interest])</f>
        <v>3017866</v>
      </c>
      <c r="D94" s="7">
        <f>SUBTOTAL(109,Table913[Total])</f>
        <v>12422866</v>
      </c>
      <c r="E94" s="3"/>
      <c r="F94" s="5">
        <v>2027</v>
      </c>
      <c r="G94" s="17">
        <v>1105000</v>
      </c>
      <c r="H94" s="17">
        <v>1112131</v>
      </c>
      <c r="I94" s="17">
        <f>SUM(Table2[[#This Row],[Principal]:[Interest]])</f>
        <v>2217131</v>
      </c>
      <c r="J94" s="3"/>
      <c r="P94" s="3"/>
      <c r="Q94" s="3"/>
      <c r="R94" s="3"/>
      <c r="S94" s="3"/>
      <c r="T94" s="3"/>
    </row>
    <row r="95" spans="1:20">
      <c r="F95" s="5">
        <v>2028</v>
      </c>
      <c r="G95" s="17">
        <v>1165000</v>
      </c>
      <c r="H95" s="17">
        <v>1055381</v>
      </c>
      <c r="I95" s="17">
        <f>SUM(Table2[[#This Row],[Principal]:[Interest]])</f>
        <v>2220381</v>
      </c>
      <c r="J95" s="3"/>
      <c r="P95" s="3"/>
      <c r="Q95" s="3"/>
      <c r="R95" s="3"/>
      <c r="S95" s="3"/>
      <c r="T95" s="3"/>
    </row>
    <row r="96" spans="1:20">
      <c r="F96" s="5">
        <v>2029</v>
      </c>
      <c r="G96" s="17">
        <v>1220000</v>
      </c>
      <c r="H96" s="17">
        <v>995756</v>
      </c>
      <c r="I96" s="17">
        <f>SUM(Table2[[#This Row],[Principal]:[Interest]])</f>
        <v>2215756</v>
      </c>
      <c r="J96" s="3"/>
      <c r="P96" s="3"/>
      <c r="Q96" s="3"/>
      <c r="R96" s="3"/>
      <c r="S96" s="3"/>
      <c r="T96" s="3"/>
    </row>
    <row r="97" spans="1:20">
      <c r="A97" s="14" t="s">
        <v>36</v>
      </c>
      <c r="B97" s="14"/>
      <c r="C97" s="14"/>
      <c r="D97" s="14"/>
      <c r="E97" s="14"/>
      <c r="F97" s="5">
        <v>2030</v>
      </c>
      <c r="G97" s="17">
        <v>1285000</v>
      </c>
      <c r="H97" s="17">
        <v>933131</v>
      </c>
      <c r="I97" s="17">
        <f>SUM(Table2[[#This Row],[Principal]:[Interest]])</f>
        <v>2218131</v>
      </c>
      <c r="J97" s="3"/>
      <c r="P97" s="3"/>
      <c r="Q97" s="3"/>
      <c r="R97" s="3"/>
      <c r="S97" s="3"/>
      <c r="T97" s="3"/>
    </row>
    <row r="98" spans="1:20">
      <c r="A98" s="30" t="s">
        <v>14</v>
      </c>
      <c r="B98" s="30"/>
      <c r="C98" s="30"/>
      <c r="D98" s="30"/>
      <c r="E98" s="30"/>
      <c r="F98" s="5">
        <v>2031</v>
      </c>
      <c r="G98" s="17">
        <v>1345000</v>
      </c>
      <c r="H98" s="17">
        <v>874106</v>
      </c>
      <c r="I98" s="17">
        <f>SUM(Table2[[#This Row],[Principal]:[Interest]])</f>
        <v>2219106</v>
      </c>
      <c r="J98" s="3"/>
    </row>
    <row r="99" spans="1:20">
      <c r="A99" s="3" t="s">
        <v>37</v>
      </c>
      <c r="B99" s="3"/>
      <c r="C99" s="3"/>
      <c r="D99" s="3"/>
      <c r="E99" s="3"/>
      <c r="F99" s="5">
        <v>2032</v>
      </c>
      <c r="G99" s="17">
        <v>1390000</v>
      </c>
      <c r="H99" s="17">
        <v>826356</v>
      </c>
      <c r="I99" s="17">
        <f>SUM(Table2[[#This Row],[Principal]:[Interest]])</f>
        <v>2216356</v>
      </c>
      <c r="J99" s="3"/>
    </row>
    <row r="100" spans="1:20">
      <c r="A100" s="3" t="s">
        <v>38</v>
      </c>
      <c r="B100" s="3"/>
      <c r="C100" s="3"/>
      <c r="D100" s="3"/>
      <c r="E100" s="3"/>
      <c r="F100" s="5">
        <v>2033</v>
      </c>
      <c r="G100" s="17">
        <v>1435000</v>
      </c>
      <c r="H100" s="17">
        <v>783981</v>
      </c>
      <c r="I100" s="17">
        <f>SUM(Table2[[#This Row],[Principal]:[Interest]])</f>
        <v>2218981</v>
      </c>
      <c r="J100" s="3"/>
    </row>
    <row r="101" spans="1:20">
      <c r="A101" s="3" t="s">
        <v>39</v>
      </c>
      <c r="B101" s="3"/>
      <c r="C101" s="3"/>
      <c r="D101" s="3"/>
      <c r="E101" s="3"/>
      <c r="F101" s="5">
        <v>2034</v>
      </c>
      <c r="G101" s="17">
        <v>1480000</v>
      </c>
      <c r="H101" s="17">
        <v>740256</v>
      </c>
      <c r="I101" s="17">
        <f>SUM(Table2[[#This Row],[Principal]:[Interest]])</f>
        <v>2220256</v>
      </c>
      <c r="J101" s="3"/>
    </row>
    <row r="102" spans="1:20">
      <c r="A102" s="3" t="s">
        <v>40</v>
      </c>
      <c r="B102" s="3"/>
      <c r="C102" s="3"/>
      <c r="D102" s="3"/>
      <c r="E102" s="3"/>
      <c r="F102" s="5">
        <v>2035</v>
      </c>
      <c r="G102" s="17">
        <v>1525000</v>
      </c>
      <c r="H102" s="17">
        <v>695181</v>
      </c>
      <c r="I102" s="17">
        <f>SUM(Table2[[#This Row],[Principal]:[Interest]])</f>
        <v>2220181</v>
      </c>
      <c r="J102" s="3"/>
    </row>
    <row r="103" spans="1:20">
      <c r="A103" s="3" t="s">
        <v>41</v>
      </c>
      <c r="B103" s="3"/>
      <c r="C103" s="3"/>
      <c r="D103" s="3"/>
      <c r="E103" s="3"/>
      <c r="F103" s="5">
        <v>2036</v>
      </c>
      <c r="G103" s="17">
        <v>1560000</v>
      </c>
      <c r="H103" s="17">
        <v>656706</v>
      </c>
      <c r="I103" s="17">
        <f>SUM(Table2[[#This Row],[Principal]:[Interest]])</f>
        <v>2216706</v>
      </c>
      <c r="J103" s="3"/>
    </row>
    <row r="104" spans="1:20">
      <c r="A104" s="14" t="s">
        <v>34</v>
      </c>
      <c r="B104" s="3"/>
      <c r="C104" s="15">
        <v>46090000</v>
      </c>
      <c r="D104" s="15"/>
      <c r="E104" s="16"/>
      <c r="F104" s="5">
        <v>2037</v>
      </c>
      <c r="G104" s="17">
        <v>1595000</v>
      </c>
      <c r="H104" s="17">
        <v>625156</v>
      </c>
      <c r="I104" s="17">
        <f>SUM(Table2[[#This Row],[Principal]:[Interest]])</f>
        <v>2220156</v>
      </c>
      <c r="J104" s="3"/>
    </row>
    <row r="105" spans="1:20">
      <c r="A105" s="3" t="s">
        <v>0</v>
      </c>
      <c r="B105" s="3" t="s">
        <v>1</v>
      </c>
      <c r="C105" s="3" t="s">
        <v>2</v>
      </c>
      <c r="D105" s="3" t="s">
        <v>3</v>
      </c>
      <c r="E105" s="3"/>
      <c r="F105" s="5">
        <v>2038</v>
      </c>
      <c r="G105" s="17">
        <v>1625000</v>
      </c>
      <c r="H105" s="17">
        <v>592956</v>
      </c>
      <c r="I105" s="17">
        <f>SUM(Table2[[#This Row],[Principal]:[Interest]])</f>
        <v>2217956</v>
      </c>
      <c r="J105" s="3"/>
    </row>
    <row r="106" spans="1:20">
      <c r="A106" s="5"/>
      <c r="B106" s="5"/>
      <c r="C106" s="5"/>
      <c r="D106" s="17"/>
      <c r="E106" s="3"/>
      <c r="F106" s="5">
        <v>2039</v>
      </c>
      <c r="G106" s="17">
        <v>1655000</v>
      </c>
      <c r="H106" s="17">
        <v>560156</v>
      </c>
      <c r="I106" s="17">
        <f>SUM(Table2[[#This Row],[Principal]:[Interest]])</f>
        <v>2215156</v>
      </c>
      <c r="J106" s="3"/>
    </row>
    <row r="107" spans="1:20">
      <c r="A107" s="5"/>
      <c r="B107" s="17"/>
      <c r="C107" s="17"/>
      <c r="D107" s="17"/>
      <c r="E107" s="3"/>
      <c r="F107" s="5">
        <v>2040</v>
      </c>
      <c r="G107" s="17">
        <v>1690000</v>
      </c>
      <c r="H107" s="17">
        <v>525650</v>
      </c>
      <c r="I107" s="17">
        <f>SUM(Table2[[#This Row],[Principal]:[Interest]])</f>
        <v>2215650</v>
      </c>
      <c r="J107" s="3"/>
    </row>
    <row r="108" spans="1:20">
      <c r="A108" s="5"/>
      <c r="B108" s="17"/>
      <c r="C108" s="17"/>
      <c r="D108" s="17"/>
      <c r="E108" s="3"/>
      <c r="F108" s="5">
        <v>2041</v>
      </c>
      <c r="G108" s="17">
        <v>1730000</v>
      </c>
      <c r="H108" s="17">
        <v>489313</v>
      </c>
      <c r="I108" s="17">
        <f>SUM(Table2[[#This Row],[Principal]:[Interest]])</f>
        <v>2219313</v>
      </c>
      <c r="J108" s="3"/>
    </row>
    <row r="109" spans="1:20">
      <c r="A109" s="5">
        <v>2024</v>
      </c>
      <c r="B109" s="7">
        <v>470000</v>
      </c>
      <c r="C109" s="7">
        <v>2332040</v>
      </c>
      <c r="D109" s="17">
        <f>SUM(Table27[[#This Row],[Principal]:[Interest]])</f>
        <v>2802040</v>
      </c>
      <c r="E109" s="3"/>
      <c r="F109" s="5">
        <v>2042</v>
      </c>
      <c r="G109" s="17">
        <v>1765000</v>
      </c>
      <c r="H109" s="17">
        <v>451075</v>
      </c>
      <c r="I109" s="17">
        <f>SUM(Table2[[#This Row],[Principal]:[Interest]])</f>
        <v>2216075</v>
      </c>
      <c r="J109" s="3"/>
    </row>
    <row r="110" spans="1:20">
      <c r="A110" s="5">
        <v>2025</v>
      </c>
      <c r="B110" s="7">
        <v>775000</v>
      </c>
      <c r="C110" s="7">
        <v>2025175</v>
      </c>
      <c r="D110" s="17">
        <f>SUM(Table27[[#This Row],[Principal]:[Interest]])</f>
        <v>2800175</v>
      </c>
      <c r="E110" s="3"/>
      <c r="F110" s="5">
        <v>2043</v>
      </c>
      <c r="G110" s="17">
        <v>1805000</v>
      </c>
      <c r="H110" s="17">
        <v>410913</v>
      </c>
      <c r="I110" s="17">
        <f>SUM(Table2[[#This Row],[Principal]:[Interest]])</f>
        <v>2215913</v>
      </c>
      <c r="J110" s="3"/>
    </row>
    <row r="111" spans="1:20">
      <c r="A111" s="5">
        <v>2026</v>
      </c>
      <c r="B111" s="7">
        <v>815000</v>
      </c>
      <c r="C111" s="7">
        <v>1985425</v>
      </c>
      <c r="D111" s="17">
        <f>SUM(Table27[[#This Row],[Principal]:[Interest]])</f>
        <v>2800425</v>
      </c>
      <c r="E111" s="3"/>
      <c r="F111" s="5">
        <v>2044</v>
      </c>
      <c r="G111" s="17">
        <v>1850000</v>
      </c>
      <c r="H111" s="17">
        <v>369794</v>
      </c>
      <c r="I111" s="17">
        <f>SUM(Table2[[#This Row],[Principal]:[Interest]])</f>
        <v>2219794</v>
      </c>
      <c r="J111" s="3"/>
    </row>
    <row r="112" spans="1:20">
      <c r="A112" s="5">
        <v>2027</v>
      </c>
      <c r="B112" s="7">
        <v>855000</v>
      </c>
      <c r="C112" s="7">
        <v>1943675</v>
      </c>
      <c r="D112" s="17">
        <f>SUM(Table27[[#This Row],[Principal]:[Interest]])</f>
        <v>2798675</v>
      </c>
      <c r="E112" s="3"/>
      <c r="F112" s="5">
        <v>2045</v>
      </c>
      <c r="G112" s="17">
        <v>1890000</v>
      </c>
      <c r="H112" s="17">
        <v>327719</v>
      </c>
      <c r="I112" s="17">
        <f>SUM(Table2[[#This Row],[Principal]:[Interest]])</f>
        <v>2217719</v>
      </c>
      <c r="J112" s="3"/>
    </row>
    <row r="113" spans="1:10">
      <c r="A113" s="5">
        <v>2028</v>
      </c>
      <c r="B113" s="7">
        <v>900000</v>
      </c>
      <c r="C113" s="7">
        <v>1899800</v>
      </c>
      <c r="D113" s="17">
        <f>SUM(Table27[[#This Row],[Principal]:[Interest]])</f>
        <v>2799800</v>
      </c>
      <c r="E113" s="3"/>
      <c r="F113" s="5">
        <v>2046</v>
      </c>
      <c r="G113" s="17">
        <v>1935000</v>
      </c>
      <c r="H113" s="17">
        <v>283478</v>
      </c>
      <c r="I113" s="17">
        <f>SUM(Table2[[#This Row],[Principal]:[Interest]])</f>
        <v>2218478</v>
      </c>
      <c r="J113" s="3"/>
    </row>
    <row r="114" spans="1:10">
      <c r="A114" s="5">
        <v>2029</v>
      </c>
      <c r="B114" s="7">
        <v>945000</v>
      </c>
      <c r="C114" s="7">
        <v>1853675</v>
      </c>
      <c r="D114" s="17">
        <f>SUM(Table27[[#This Row],[Principal]:[Interest]])</f>
        <v>2798675</v>
      </c>
      <c r="E114" s="3"/>
      <c r="F114" s="5">
        <v>2047</v>
      </c>
      <c r="G114" s="17">
        <v>1980000</v>
      </c>
      <c r="H114" s="17">
        <v>235750</v>
      </c>
      <c r="I114" s="17">
        <f>SUM(Table2[[#This Row],[Principal]:[Interest]])</f>
        <v>2215750</v>
      </c>
      <c r="J114" s="3"/>
    </row>
    <row r="115" spans="1:10">
      <c r="A115" s="5">
        <v>2030</v>
      </c>
      <c r="B115" s="7">
        <v>995000</v>
      </c>
      <c r="C115" s="7">
        <v>1805175</v>
      </c>
      <c r="D115" s="17">
        <f>SUM(Table27[[#This Row],[Principal]:[Interest]])</f>
        <v>2800175</v>
      </c>
      <c r="E115" s="3"/>
      <c r="F115" s="5">
        <v>2048</v>
      </c>
      <c r="G115" s="17">
        <v>2030000</v>
      </c>
      <c r="H115" s="17">
        <v>185625</v>
      </c>
      <c r="I115" s="17">
        <f>SUM(Table2[[#This Row],[Principal]:[Interest]])</f>
        <v>2215625</v>
      </c>
      <c r="J115" s="3"/>
    </row>
    <row r="116" spans="1:10">
      <c r="A116" s="5">
        <v>2031</v>
      </c>
      <c r="B116" s="7">
        <v>1045000</v>
      </c>
      <c r="C116" s="7">
        <v>1754175</v>
      </c>
      <c r="D116" s="17">
        <f>SUM(Table27[[#This Row],[Principal]:[Interest]])</f>
        <v>2799175</v>
      </c>
      <c r="E116" s="3"/>
      <c r="F116" s="5">
        <v>2049</v>
      </c>
      <c r="G116" s="17">
        <v>2085000</v>
      </c>
      <c r="H116" s="17">
        <v>134188</v>
      </c>
      <c r="I116" s="17">
        <f>SUM(Table2[[#This Row],[Principal]:[Interest]])</f>
        <v>2219188</v>
      </c>
      <c r="J116" s="3"/>
    </row>
    <row r="117" spans="1:10">
      <c r="A117" s="5">
        <v>2032</v>
      </c>
      <c r="B117" s="7">
        <v>1100000</v>
      </c>
      <c r="C117" s="7">
        <v>1700550</v>
      </c>
      <c r="D117" s="17">
        <f>SUM(Table27[[#This Row],[Principal]:[Interest]])</f>
        <v>2800550</v>
      </c>
      <c r="E117" s="3"/>
      <c r="F117" s="5">
        <v>2050</v>
      </c>
      <c r="G117" s="17">
        <v>2135000</v>
      </c>
      <c r="H117" s="17">
        <v>81438</v>
      </c>
      <c r="I117" s="17">
        <f>SUM(Table2[[#This Row],[Principal]:[Interest]])</f>
        <v>2216438</v>
      </c>
      <c r="J117" s="3"/>
    </row>
    <row r="118" spans="1:10" ht="15.75" thickBot="1">
      <c r="A118" s="5">
        <v>2033</v>
      </c>
      <c r="B118" s="7">
        <v>1155000</v>
      </c>
      <c r="C118" s="7">
        <v>1644175</v>
      </c>
      <c r="D118" s="17">
        <f>SUM(Table27[[#This Row],[Principal]:[Interest]])</f>
        <v>2799175</v>
      </c>
      <c r="E118" s="3"/>
      <c r="F118" s="18">
        <v>2051</v>
      </c>
      <c r="G118" s="19">
        <v>2190000</v>
      </c>
      <c r="H118" s="19">
        <v>27375</v>
      </c>
      <c r="I118" s="19">
        <f>SUM(Table2[[#This Row],[Principal]:[Interest]])</f>
        <v>2217375</v>
      </c>
      <c r="J118" s="3"/>
    </row>
    <row r="119" spans="1:10" ht="15.75" thickTop="1">
      <c r="A119" s="5">
        <v>2034</v>
      </c>
      <c r="B119" s="7">
        <v>1215000</v>
      </c>
      <c r="C119" s="7">
        <v>1584925</v>
      </c>
      <c r="D119" s="17">
        <f>SUM(Table27[[#This Row],[Principal]:[Interest]])</f>
        <v>2799925</v>
      </c>
      <c r="E119" s="3"/>
      <c r="F119" s="20" t="s">
        <v>3</v>
      </c>
      <c r="G119" s="21">
        <f>SUBTOTAL(109,G88:G118)</f>
        <v>46090000</v>
      </c>
      <c r="H119" s="21">
        <f>SUBTOTAL(109,H88:H118)</f>
        <v>20436600</v>
      </c>
      <c r="I119" s="21">
        <f>SUM(Table2[[#This Row],[Principal]:[Interest]])</f>
        <v>66526600</v>
      </c>
    </row>
    <row r="120" spans="1:10">
      <c r="A120" s="5">
        <v>2035</v>
      </c>
      <c r="B120" s="7">
        <v>1275000</v>
      </c>
      <c r="C120" s="7">
        <v>1522675</v>
      </c>
      <c r="D120" s="17">
        <f>SUM(Table27[[#This Row],[Principal]:[Interest]])</f>
        <v>2797675</v>
      </c>
      <c r="E120" s="3"/>
    </row>
    <row r="121" spans="1:10">
      <c r="A121" s="5">
        <v>2036</v>
      </c>
      <c r="B121" s="7">
        <v>1345000</v>
      </c>
      <c r="C121" s="7">
        <v>1457175</v>
      </c>
      <c r="D121" s="17">
        <f>SUM(Table27[[#This Row],[Principal]:[Interest]])</f>
        <v>2802175</v>
      </c>
      <c r="E121" s="3"/>
    </row>
    <row r="122" spans="1:10">
      <c r="A122" s="5">
        <v>2037</v>
      </c>
      <c r="B122" s="7">
        <v>1410000</v>
      </c>
      <c r="C122" s="7">
        <v>1388300</v>
      </c>
      <c r="D122" s="17">
        <f>SUM(Table27[[#This Row],[Principal]:[Interest]])</f>
        <v>2798300</v>
      </c>
      <c r="E122" s="3"/>
    </row>
    <row r="123" spans="1:10">
      <c r="A123" s="5">
        <v>2038</v>
      </c>
      <c r="B123" s="7">
        <v>1485000</v>
      </c>
      <c r="C123" s="7">
        <v>1315925</v>
      </c>
      <c r="D123" s="17">
        <f>SUM(Table27[[#This Row],[Principal]:[Interest]])</f>
        <v>2800925</v>
      </c>
      <c r="E123" s="3"/>
      <c r="F123" s="22" t="s">
        <v>42</v>
      </c>
      <c r="G123" s="22"/>
      <c r="H123" s="22"/>
      <c r="I123" s="22"/>
      <c r="J123" s="22"/>
    </row>
    <row r="124" spans="1:10">
      <c r="A124" s="5">
        <v>2039</v>
      </c>
      <c r="B124" s="7">
        <v>1560000</v>
      </c>
      <c r="C124" s="7">
        <v>1239800</v>
      </c>
      <c r="D124" s="17">
        <f>SUM(Table27[[#This Row],[Principal]:[Interest]])</f>
        <v>2799800</v>
      </c>
      <c r="E124" s="3"/>
      <c r="F124" s="29" t="s">
        <v>14</v>
      </c>
      <c r="G124" s="29"/>
      <c r="H124" s="29"/>
      <c r="I124" s="29"/>
      <c r="J124" s="29"/>
    </row>
    <row r="125" spans="1:10">
      <c r="A125" s="5">
        <v>2040</v>
      </c>
      <c r="B125" s="7">
        <v>1630000</v>
      </c>
      <c r="C125" s="7">
        <v>1168200</v>
      </c>
      <c r="D125" s="17">
        <f>SUM(Table27[[#This Row],[Principal]:[Interest]])</f>
        <v>2798200</v>
      </c>
      <c r="E125" s="3"/>
      <c r="F125" t="s">
        <v>37</v>
      </c>
    </row>
    <row r="126" spans="1:10">
      <c r="A126" s="5">
        <v>2041</v>
      </c>
      <c r="B126" s="7">
        <v>1700000</v>
      </c>
      <c r="C126" s="7">
        <v>1101600</v>
      </c>
      <c r="D126" s="17">
        <f>SUM(Table27[[#This Row],[Principal]:[Interest]])</f>
        <v>2801600</v>
      </c>
      <c r="E126" s="3"/>
      <c r="F126" t="s">
        <v>38</v>
      </c>
    </row>
    <row r="127" spans="1:10">
      <c r="A127" s="5">
        <v>2042</v>
      </c>
      <c r="B127" s="7">
        <v>1770000</v>
      </c>
      <c r="C127" s="7">
        <v>1032200</v>
      </c>
      <c r="D127" s="17">
        <f>SUM(Table27[[#This Row],[Principal]:[Interest]])</f>
        <v>2802200</v>
      </c>
      <c r="E127" s="3"/>
      <c r="F127" t="s">
        <v>39</v>
      </c>
    </row>
    <row r="128" spans="1:10">
      <c r="A128" s="5">
        <v>2043</v>
      </c>
      <c r="B128" s="7">
        <v>1840000</v>
      </c>
      <c r="C128" s="7">
        <v>960000</v>
      </c>
      <c r="D128" s="17">
        <f>SUM(Table27[[#This Row],[Principal]:[Interest]])</f>
        <v>2800000</v>
      </c>
      <c r="E128" s="3"/>
      <c r="F128" t="s">
        <v>40</v>
      </c>
    </row>
    <row r="129" spans="1:9">
      <c r="A129" s="5">
        <v>2044</v>
      </c>
      <c r="B129" s="7">
        <v>1915000</v>
      </c>
      <c r="C129" s="7">
        <v>884900</v>
      </c>
      <c r="D129" s="17">
        <f>SUM(Table27[[#This Row],[Principal]:[Interest]])</f>
        <v>2799900</v>
      </c>
      <c r="E129" s="3"/>
      <c r="F129" t="s">
        <v>41</v>
      </c>
    </row>
    <row r="130" spans="1:9">
      <c r="A130" s="5">
        <v>2045</v>
      </c>
      <c r="B130" s="7">
        <v>1995000</v>
      </c>
      <c r="C130" s="7">
        <v>806700</v>
      </c>
      <c r="D130" s="17">
        <f>SUM(Table27[[#This Row],[Principal]:[Interest]])</f>
        <v>2801700</v>
      </c>
      <c r="E130" s="3"/>
      <c r="F130" s="22" t="s">
        <v>34</v>
      </c>
      <c r="H130" s="23">
        <v>46090000</v>
      </c>
    </row>
    <row r="131" spans="1:9">
      <c r="A131" s="5">
        <v>2046</v>
      </c>
      <c r="B131" s="7">
        <v>2075000</v>
      </c>
      <c r="C131" s="7">
        <v>725300</v>
      </c>
      <c r="D131" s="17">
        <f>SUM(Table27[[#This Row],[Principal]:[Interest]])</f>
        <v>2800300</v>
      </c>
      <c r="E131" s="3"/>
      <c r="F131" t="s">
        <v>0</v>
      </c>
      <c r="G131" s="24" t="s">
        <v>1</v>
      </c>
      <c r="H131" s="24" t="s">
        <v>2</v>
      </c>
      <c r="I131" s="24" t="s">
        <v>3</v>
      </c>
    </row>
    <row r="132" spans="1:9">
      <c r="A132" s="5">
        <v>2047</v>
      </c>
      <c r="B132" s="7">
        <v>2160000</v>
      </c>
      <c r="C132" s="7">
        <v>640600</v>
      </c>
      <c r="D132" s="17">
        <f>SUM(Table27[[#This Row],[Principal]:[Interest]])</f>
        <v>2800600</v>
      </c>
      <c r="E132" s="3"/>
      <c r="F132" t="s">
        <v>0</v>
      </c>
      <c r="G132" s="24" t="s">
        <v>1</v>
      </c>
      <c r="H132" s="24" t="s">
        <v>2</v>
      </c>
      <c r="I132" s="24" t="s">
        <v>3</v>
      </c>
    </row>
    <row r="133" spans="1:9">
      <c r="A133" s="5">
        <v>2048</v>
      </c>
      <c r="B133" s="7">
        <v>2245000</v>
      </c>
      <c r="C133" s="7">
        <v>552500</v>
      </c>
      <c r="D133" s="17">
        <f>SUM(Table27[[#This Row],[Principal]:[Interest]])</f>
        <v>2797500</v>
      </c>
      <c r="E133" s="3"/>
      <c r="G133" s="24"/>
      <c r="H133" s="24"/>
      <c r="I133" s="24"/>
    </row>
    <row r="134" spans="1:9">
      <c r="A134" s="5">
        <v>2049</v>
      </c>
      <c r="B134" s="7">
        <v>2340000</v>
      </c>
      <c r="C134" s="7">
        <v>460800</v>
      </c>
      <c r="D134" s="17">
        <f>SUM(Table27[[#This Row],[Principal]:[Interest]])</f>
        <v>2800800</v>
      </c>
      <c r="E134" s="3"/>
      <c r="F134" s="25">
        <v>2025</v>
      </c>
      <c r="G134" s="26">
        <v>2170000</v>
      </c>
      <c r="H134" s="26">
        <v>2014632</v>
      </c>
      <c r="I134" s="26">
        <f>SUM(G134:H134)</f>
        <v>4184632</v>
      </c>
    </row>
    <row r="135" spans="1:9">
      <c r="A135" s="5">
        <v>2050</v>
      </c>
      <c r="B135" s="7">
        <v>2435000</v>
      </c>
      <c r="C135" s="7">
        <v>365300</v>
      </c>
      <c r="D135" s="17">
        <f>SUM(Table27[[#This Row],[Principal]:[Interest]])</f>
        <v>2800300</v>
      </c>
      <c r="E135" s="3"/>
      <c r="F135" s="27">
        <v>2026</v>
      </c>
      <c r="G135" s="26">
        <v>1920000</v>
      </c>
      <c r="H135" s="26">
        <v>2269550</v>
      </c>
      <c r="I135" s="26">
        <f t="shared" ref="I135:I163" si="0">SUM(G135:H135)</f>
        <v>4189550</v>
      </c>
    </row>
    <row r="136" spans="1:9">
      <c r="A136" s="5">
        <v>2051</v>
      </c>
      <c r="B136" s="7">
        <v>2535000</v>
      </c>
      <c r="C136" s="7">
        <v>265900</v>
      </c>
      <c r="D136" s="17">
        <f>SUM(Table27[[#This Row],[Principal]:[Interest]])</f>
        <v>2800900</v>
      </c>
      <c r="E136" s="3"/>
      <c r="F136" s="25">
        <v>2027</v>
      </c>
      <c r="G136" s="26">
        <v>2025000</v>
      </c>
      <c r="H136" s="26">
        <v>2170925</v>
      </c>
      <c r="I136" s="26">
        <f t="shared" si="0"/>
        <v>4195925</v>
      </c>
    </row>
    <row r="137" spans="1:9">
      <c r="A137" s="5">
        <v>2052</v>
      </c>
      <c r="B137" s="7">
        <v>2635000</v>
      </c>
      <c r="C137" s="7">
        <v>162500</v>
      </c>
      <c r="D137" s="17">
        <f>SUM(Table27[[#This Row],[Principal]:[Interest]])</f>
        <v>2797500</v>
      </c>
      <c r="E137" s="3"/>
      <c r="F137" s="27">
        <v>2028</v>
      </c>
      <c r="G137" s="26">
        <v>2125000</v>
      </c>
      <c r="H137" s="26">
        <v>2067175</v>
      </c>
      <c r="I137" s="26">
        <f t="shared" si="0"/>
        <v>4192175</v>
      </c>
    </row>
    <row r="138" spans="1:9">
      <c r="A138" s="5">
        <v>2053</v>
      </c>
      <c r="B138" s="7">
        <v>2745000</v>
      </c>
      <c r="C138" s="7">
        <v>54900</v>
      </c>
      <c r="D138" s="17">
        <f>SUM(Table27[[#This Row],[Principal]:[Interest]])</f>
        <v>2799900</v>
      </c>
      <c r="E138" s="3"/>
      <c r="F138" s="25">
        <v>2029</v>
      </c>
      <c r="G138" s="26">
        <v>2225000</v>
      </c>
      <c r="H138" s="26">
        <v>1958425</v>
      </c>
      <c r="I138" s="26">
        <f t="shared" si="0"/>
        <v>4183425</v>
      </c>
    </row>
    <row r="139" spans="1:9">
      <c r="A139" s="5">
        <v>2054</v>
      </c>
      <c r="B139" s="7">
        <v>0</v>
      </c>
      <c r="C139" s="7">
        <v>0</v>
      </c>
      <c r="D139" s="17">
        <f>SUM(Table27[[#This Row],[Principal]:[Interest]])</f>
        <v>0</v>
      </c>
      <c r="E139" s="3"/>
      <c r="F139" s="27">
        <v>2030</v>
      </c>
      <c r="G139" s="26">
        <v>1850000</v>
      </c>
      <c r="H139" s="26">
        <v>1856550</v>
      </c>
      <c r="I139" s="26">
        <f t="shared" si="0"/>
        <v>3706550</v>
      </c>
    </row>
    <row r="140" spans="1:9">
      <c r="A140" s="5"/>
      <c r="B140" s="17"/>
      <c r="C140" s="17"/>
      <c r="D140" s="17">
        <f>SUM(Table27[[#This Row],[Principal]:[Interest]])</f>
        <v>0</v>
      </c>
      <c r="E140" s="3"/>
      <c r="F140" s="25">
        <v>2031</v>
      </c>
      <c r="G140" s="26">
        <v>1940000</v>
      </c>
      <c r="H140" s="26">
        <v>1761800</v>
      </c>
      <c r="I140" s="26">
        <f t="shared" si="0"/>
        <v>3701800</v>
      </c>
    </row>
    <row r="141" spans="1:9">
      <c r="A141" s="20" t="s">
        <v>3</v>
      </c>
      <c r="B141" s="21">
        <f>SUBTOTAL(109,B106:B139)</f>
        <v>47365000</v>
      </c>
      <c r="C141" s="21">
        <f>SUBTOTAL(109,C106:C139)</f>
        <v>36634065</v>
      </c>
      <c r="D141" s="21">
        <f>SUM(Table27[[#This Row],[Principal]:[Interest]])</f>
        <v>83999065</v>
      </c>
      <c r="E141" s="3"/>
      <c r="F141" s="27">
        <v>2032</v>
      </c>
      <c r="G141" s="26">
        <v>2040000</v>
      </c>
      <c r="H141" s="26">
        <v>1662300</v>
      </c>
      <c r="I141" s="26">
        <f t="shared" si="0"/>
        <v>3702300</v>
      </c>
    </row>
    <row r="142" spans="1:9">
      <c r="F142" s="25">
        <v>2033</v>
      </c>
      <c r="G142" s="26">
        <v>2145000</v>
      </c>
      <c r="H142" s="26">
        <v>1557675</v>
      </c>
      <c r="I142" s="26">
        <f t="shared" si="0"/>
        <v>3702675</v>
      </c>
    </row>
    <row r="143" spans="1:9">
      <c r="F143" s="27">
        <v>2034</v>
      </c>
      <c r="G143" s="26">
        <v>2260000</v>
      </c>
      <c r="H143" s="26">
        <v>1447550</v>
      </c>
      <c r="I143" s="26">
        <f t="shared" si="0"/>
        <v>3707550</v>
      </c>
    </row>
    <row r="144" spans="1:9">
      <c r="F144" s="25">
        <v>2035</v>
      </c>
      <c r="G144" s="26">
        <v>1485000</v>
      </c>
      <c r="H144" s="26">
        <v>1353925</v>
      </c>
      <c r="I144" s="26">
        <f t="shared" si="0"/>
        <v>2838925</v>
      </c>
    </row>
    <row r="145" spans="6:9">
      <c r="F145" s="27">
        <v>2036</v>
      </c>
      <c r="G145" s="26">
        <v>1555000</v>
      </c>
      <c r="H145" s="26">
        <v>1277925</v>
      </c>
      <c r="I145" s="26">
        <f t="shared" si="0"/>
        <v>2832925</v>
      </c>
    </row>
    <row r="146" spans="6:9">
      <c r="F146" s="25">
        <v>2037</v>
      </c>
      <c r="G146" s="26">
        <v>1635000</v>
      </c>
      <c r="H146" s="26">
        <v>1198175</v>
      </c>
      <c r="I146" s="26">
        <f t="shared" si="0"/>
        <v>2833175</v>
      </c>
    </row>
    <row r="147" spans="6:9">
      <c r="F147" s="27">
        <v>2038</v>
      </c>
      <c r="G147" s="26">
        <v>1720000</v>
      </c>
      <c r="H147" s="26">
        <v>1114300</v>
      </c>
      <c r="I147" s="26">
        <f t="shared" si="0"/>
        <v>2834300</v>
      </c>
    </row>
    <row r="148" spans="6:9">
      <c r="F148" s="25">
        <v>2039</v>
      </c>
      <c r="G148" s="26">
        <v>1810000</v>
      </c>
      <c r="H148" s="26">
        <v>1026050</v>
      </c>
      <c r="I148" s="26">
        <f t="shared" si="0"/>
        <v>2836050</v>
      </c>
    </row>
    <row r="149" spans="6:9">
      <c r="F149" s="27">
        <v>2040</v>
      </c>
      <c r="G149" s="26">
        <v>1895000</v>
      </c>
      <c r="H149" s="26">
        <v>942900</v>
      </c>
      <c r="I149" s="26">
        <f t="shared" si="0"/>
        <v>2837900</v>
      </c>
    </row>
    <row r="150" spans="6:9">
      <c r="F150" s="25">
        <v>2041</v>
      </c>
      <c r="G150" s="26">
        <v>1970000</v>
      </c>
      <c r="H150" s="26">
        <v>865600</v>
      </c>
      <c r="I150" s="26">
        <f t="shared" si="0"/>
        <v>2835600</v>
      </c>
    </row>
    <row r="151" spans="6:9">
      <c r="F151" s="27">
        <v>2042</v>
      </c>
      <c r="G151" s="26">
        <v>2050000</v>
      </c>
      <c r="H151" s="26">
        <v>785200</v>
      </c>
      <c r="I151" s="26">
        <f t="shared" si="0"/>
        <v>2835200</v>
      </c>
    </row>
    <row r="152" spans="6:9">
      <c r="F152" s="25">
        <v>2043</v>
      </c>
      <c r="G152" s="26">
        <v>2130000</v>
      </c>
      <c r="H152" s="26">
        <v>701600</v>
      </c>
      <c r="I152" s="26">
        <f t="shared" si="0"/>
        <v>2831600</v>
      </c>
    </row>
    <row r="153" spans="6:9">
      <c r="F153" s="27">
        <v>2044</v>
      </c>
      <c r="G153" s="26">
        <v>2220000</v>
      </c>
      <c r="H153" s="26">
        <v>614600</v>
      </c>
      <c r="I153" s="26">
        <f t="shared" si="0"/>
        <v>2834600</v>
      </c>
    </row>
    <row r="154" spans="6:9">
      <c r="F154" s="25">
        <v>2045</v>
      </c>
      <c r="G154" s="26">
        <v>1180000</v>
      </c>
      <c r="H154" s="26">
        <v>546600</v>
      </c>
      <c r="I154" s="26">
        <f t="shared" si="0"/>
        <v>1726600</v>
      </c>
    </row>
    <row r="155" spans="6:9">
      <c r="F155" s="27">
        <v>2046</v>
      </c>
      <c r="G155" s="26">
        <v>1230000</v>
      </c>
      <c r="H155" s="26">
        <v>498400</v>
      </c>
      <c r="I155" s="26">
        <f t="shared" si="0"/>
        <v>1728400</v>
      </c>
    </row>
    <row r="156" spans="6:9">
      <c r="F156" s="25">
        <v>2047</v>
      </c>
      <c r="G156" s="26">
        <v>1280000</v>
      </c>
      <c r="H156" s="26">
        <v>448200</v>
      </c>
      <c r="I156" s="26">
        <f t="shared" si="0"/>
        <v>1728200</v>
      </c>
    </row>
    <row r="157" spans="6:9">
      <c r="F157" s="27">
        <v>2048</v>
      </c>
      <c r="G157" s="26">
        <v>1335000</v>
      </c>
      <c r="H157" s="26">
        <v>395900</v>
      </c>
      <c r="I157" s="26">
        <f t="shared" si="0"/>
        <v>1730900</v>
      </c>
    </row>
    <row r="158" spans="6:9">
      <c r="F158" s="25">
        <v>2049</v>
      </c>
      <c r="G158" s="26">
        <v>1390000</v>
      </c>
      <c r="H158" s="26">
        <v>341400</v>
      </c>
      <c r="I158" s="26">
        <f t="shared" si="0"/>
        <v>1731400</v>
      </c>
    </row>
    <row r="159" spans="6:9">
      <c r="F159" s="27">
        <v>2050</v>
      </c>
      <c r="G159" s="26">
        <v>1445000</v>
      </c>
      <c r="H159" s="26">
        <v>284700</v>
      </c>
      <c r="I159" s="26">
        <f t="shared" si="0"/>
        <v>1729700</v>
      </c>
    </row>
    <row r="160" spans="6:9">
      <c r="F160" s="25">
        <v>2051</v>
      </c>
      <c r="G160" s="26">
        <v>1505000</v>
      </c>
      <c r="H160" s="26">
        <v>225700</v>
      </c>
      <c r="I160" s="26">
        <f t="shared" si="0"/>
        <v>1730700</v>
      </c>
    </row>
    <row r="161" spans="6:9">
      <c r="F161" s="27">
        <v>2052</v>
      </c>
      <c r="G161" s="26">
        <v>1565000</v>
      </c>
      <c r="H161" s="26">
        <v>164300</v>
      </c>
      <c r="I161" s="26">
        <f t="shared" si="0"/>
        <v>1729300</v>
      </c>
    </row>
    <row r="162" spans="6:9">
      <c r="F162" s="25">
        <v>2053</v>
      </c>
      <c r="G162" s="26">
        <v>1630000</v>
      </c>
      <c r="H162" s="26">
        <v>100400</v>
      </c>
      <c r="I162" s="26">
        <f t="shared" si="0"/>
        <v>1730400</v>
      </c>
    </row>
    <row r="163" spans="6:9">
      <c r="F163" s="27">
        <v>2054</v>
      </c>
      <c r="G163" s="26">
        <v>1695000</v>
      </c>
      <c r="H163" s="26">
        <v>33900</v>
      </c>
      <c r="I163" s="26">
        <f t="shared" si="0"/>
        <v>1728900</v>
      </c>
    </row>
    <row r="164" spans="6:9">
      <c r="F164" s="24"/>
      <c r="G164" s="26">
        <v>0</v>
      </c>
      <c r="H164" s="26">
        <v>0</v>
      </c>
      <c r="I164" s="26">
        <v>0</v>
      </c>
    </row>
    <row r="165" spans="6:9" ht="15.75" thickBot="1">
      <c r="F165" s="22" t="s">
        <v>3</v>
      </c>
      <c r="G165" s="28">
        <f>SUM(G134:G164)</f>
        <v>53425000</v>
      </c>
      <c r="H165" s="28">
        <f>SUM(H134:H164)</f>
        <v>31686357</v>
      </c>
      <c r="I165" s="28">
        <f>SUM(I134:I164)</f>
        <v>85111357</v>
      </c>
    </row>
    <row r="166" spans="6:9" ht="15.75" thickTop="1"/>
  </sheetData>
  <mergeCells count="27">
    <mergeCell ref="F80:I85"/>
    <mergeCell ref="A65:C65"/>
    <mergeCell ref="F55:H55"/>
    <mergeCell ref="F56:G56"/>
    <mergeCell ref="F57:I57"/>
    <mergeCell ref="F79:J79"/>
    <mergeCell ref="F77:I78"/>
    <mergeCell ref="F58:I58"/>
    <mergeCell ref="F59:I59"/>
    <mergeCell ref="F64:H64"/>
    <mergeCell ref="A64:C64"/>
    <mergeCell ref="F124:J124"/>
    <mergeCell ref="F54:G54"/>
    <mergeCell ref="A38:C38"/>
    <mergeCell ref="A1:I3"/>
    <mergeCell ref="A8:B8"/>
    <mergeCell ref="A9:B9"/>
    <mergeCell ref="A11:D12"/>
    <mergeCell ref="F30:H30"/>
    <mergeCell ref="F31:H31"/>
    <mergeCell ref="A37:C37"/>
    <mergeCell ref="A5:D5"/>
    <mergeCell ref="F5:H5"/>
    <mergeCell ref="A6:D6"/>
    <mergeCell ref="F6:H6"/>
    <mergeCell ref="A7:C7"/>
    <mergeCell ref="A98:E98"/>
  </mergeCells>
  <pageMargins left="0.25" right="0.25" top="0.75" bottom="0.75" header="0.3" footer="0.3"/>
  <pageSetup paperSize="5" orientation="portrait" r:id="rId1"/>
  <tableParts count="9"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6C590D6B5CDA4EAD8125EBDD941A20" ma:contentTypeVersion="14" ma:contentTypeDescription="Create a new document." ma:contentTypeScope="" ma:versionID="d67392e0dc47b80ed2956b0b8f8cd3d5">
  <xsd:schema xmlns:xsd="http://www.w3.org/2001/XMLSchema" xmlns:xs="http://www.w3.org/2001/XMLSchema" xmlns:p="http://schemas.microsoft.com/office/2006/metadata/properties" xmlns:ns2="81f1a5cd-3b51-4874-b074-2e0c634c1e8e" xmlns:ns3="5903faa1-a010-44cb-8dd8-ef522082718f" targetNamespace="http://schemas.microsoft.com/office/2006/metadata/properties" ma:root="true" ma:fieldsID="d5dcaabc92f0f000d39b1b13a72641e8" ns2:_="" ns3:_="">
    <xsd:import namespace="81f1a5cd-3b51-4874-b074-2e0c634c1e8e"/>
    <xsd:import namespace="5903faa1-a010-44cb-8dd8-ef52208271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f1a5cd-3b51-4874-b074-2e0c634c1e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94a53c7-bf4d-4543-b4f5-12f1243c48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03faa1-a010-44cb-8dd8-ef522082718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a4a4b8f-e52c-4725-bdf3-d8669ac7bba8}" ma:internalName="TaxCatchAll" ma:showField="CatchAllData" ma:web="5903faa1-a010-44cb-8dd8-ef52208271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1f1a5cd-3b51-4874-b074-2e0c634c1e8e">
      <Terms xmlns="http://schemas.microsoft.com/office/infopath/2007/PartnerControls"/>
    </lcf76f155ced4ddcb4097134ff3c332f>
    <TaxCatchAll xmlns="5903faa1-a010-44cb-8dd8-ef522082718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0A2F9E-333B-40D3-ACE7-6C611E7743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f1a5cd-3b51-4874-b074-2e0c634c1e8e"/>
    <ds:schemaRef ds:uri="5903faa1-a010-44cb-8dd8-ef52208271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D93ED2-90C8-47C8-A9AB-B16B9BE8A33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1f1a5cd-3b51-4874-b074-2e0c634c1e8e"/>
    <ds:schemaRef ds:uri="http://www.w3.org/XML/1998/namespace"/>
    <ds:schemaRef ds:uri="http://purl.org/dc/dcmitype/"/>
    <ds:schemaRef ds:uri="5903faa1-a010-44cb-8dd8-ef522082718f"/>
  </ds:schemaRefs>
</ds:datastoreItem>
</file>

<file path=customXml/itemProps3.xml><?xml version="1.0" encoding="utf-8"?>
<ds:datastoreItem xmlns:ds="http://schemas.openxmlformats.org/officeDocument/2006/customXml" ds:itemID="{4E7516C5-FE25-494E-B827-BE8C5DB0C9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Debt Details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Thomas</dc:creator>
  <cp:lastModifiedBy>Nadia D. Granados</cp:lastModifiedBy>
  <cp:lastPrinted>2021-07-20T15:10:56Z</cp:lastPrinted>
  <dcterms:created xsi:type="dcterms:W3CDTF">2015-03-23T19:53:00Z</dcterms:created>
  <dcterms:modified xsi:type="dcterms:W3CDTF">2025-09-15T20:43:21Z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0x010100206C590D6B5CDA4EAD8125EBDD941A20</vt:lpwstr>
  </property>
  <property fmtid="{D5CDD505-2E9C-101B-9397-08002B2CF9AE}" pid="3" name="MediaServiceImageTags">
    <vt:lpwstr/>
  </property>
</Properties>
</file>